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OPD Lobar 2020\"/>
    </mc:Choice>
  </mc:AlternateContent>
  <xr:revisionPtr revIDLastSave="0" documentId="13_ncr:1_{41E91F94-A421-4513-8A45-9808FFAE8E7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ERDAGAN" sheetId="3" r:id="rId1"/>
    <sheet name="DATA INDUSTRI" sheetId="5" r:id="rId2"/>
    <sheet name="DATA PASAR" sheetId="6" r:id="rId3"/>
    <sheet name="KULINER" sheetId="7" r:id="rId4"/>
    <sheet name="SIUP" sheetId="8" r:id="rId5"/>
    <sheet name="UTTP" sheetId="9" r:id="rId6"/>
    <sheet name="SPBU 3027" sheetId="10" r:id="rId7"/>
    <sheet name="PENGAWASAN" sheetId="11" r:id="rId8"/>
    <sheet name="EKSPORT" sheetId="12" r:id="rId9"/>
    <sheet name="Data IKAHH" sheetId="13" r:id="rId10"/>
    <sheet name="ILMEA DATA" sheetId="14" r:id="rId11"/>
    <sheet name="IKM KEC" sheetId="15" r:id="rId12"/>
    <sheet name="ikm 2013 sd 2019" sheetId="17" r:id="rId13"/>
    <sheet name="IKM OLAH" sheetId="18" r:id="rId14"/>
    <sheet name="Kontribusi" sheetId="19" r:id="rId15"/>
    <sheet name="Sheet1" sheetId="20" r:id="rId16"/>
    <sheet name="Sheet2" sheetId="21" r:id="rId17"/>
    <sheet name="Sheet3" sheetId="22" r:id="rId18"/>
  </sheets>
  <definedNames>
    <definedName name="_xlnm.Print_Area" localSheetId="9">'Data IKAHH'!$A$1:$H$64</definedName>
    <definedName name="_xlnm.Print_Area" localSheetId="12">'ikm 2013 sd 2019'!$A$1:$G$32</definedName>
    <definedName name="_xlnm.Print_Area" localSheetId="10">'ILMEA DATA'!$A$1:$H$27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6" i="13" l="1"/>
  <c r="I37" i="13"/>
  <c r="I38" i="13"/>
  <c r="I42" i="13"/>
  <c r="I43" i="13"/>
  <c r="F32" i="22"/>
  <c r="E32" i="22"/>
  <c r="D32" i="22"/>
  <c r="E32" i="7"/>
  <c r="F32" i="7"/>
  <c r="D32" i="7"/>
  <c r="D28" i="20"/>
  <c r="D16" i="20"/>
  <c r="D17" i="20"/>
  <c r="D34" i="20" s="1"/>
  <c r="C28" i="20"/>
  <c r="C17" i="20"/>
  <c r="C27" i="20"/>
  <c r="C16" i="20"/>
  <c r="C26" i="20"/>
  <c r="D26" i="20" s="1"/>
  <c r="C15" i="20"/>
  <c r="D15" i="20" s="1"/>
  <c r="D32" i="20" s="1"/>
  <c r="C25" i="20"/>
  <c r="C14" i="20"/>
  <c r="C24" i="20"/>
  <c r="D24" i="20" s="1"/>
  <c r="C13" i="20"/>
  <c r="D13" i="20" s="1"/>
  <c r="B27" i="20"/>
  <c r="D27" i="20" s="1"/>
  <c r="D33" i="20" s="1"/>
  <c r="B16" i="20"/>
  <c r="B25" i="20"/>
  <c r="D25" i="20" s="1"/>
  <c r="B14" i="20"/>
  <c r="D14" i="20" s="1"/>
  <c r="D31" i="20" s="1"/>
  <c r="B26" i="20"/>
  <c r="B15" i="20"/>
  <c r="B32" i="20" s="1"/>
  <c r="B20" i="20" s="1"/>
  <c r="B18" i="20"/>
  <c r="C33" i="20"/>
  <c r="B34" i="20"/>
  <c r="B30" i="20"/>
  <c r="H5" i="20"/>
  <c r="H4" i="20"/>
  <c r="D3" i="19"/>
  <c r="D4" i="19"/>
  <c r="D5" i="19"/>
  <c r="D6" i="19"/>
  <c r="D7" i="19"/>
  <c r="D8" i="19"/>
  <c r="D9" i="19"/>
  <c r="D10" i="19"/>
  <c r="D11" i="19"/>
  <c r="D12" i="19"/>
  <c r="D2" i="19"/>
  <c r="F20" i="12"/>
  <c r="D30" i="20" l="1"/>
  <c r="C34" i="20"/>
  <c r="C32" i="20"/>
  <c r="C20" i="20" s="1"/>
  <c r="C31" i="20"/>
  <c r="C19" i="20" s="1"/>
  <c r="C30" i="20"/>
  <c r="C18" i="20" s="1"/>
  <c r="B33" i="20"/>
  <c r="B31" i="20"/>
  <c r="B19" i="20" s="1"/>
  <c r="C32" i="17"/>
  <c r="B32" i="17"/>
  <c r="C31" i="17"/>
  <c r="B31" i="17"/>
  <c r="B30" i="17"/>
  <c r="C30" i="17"/>
  <c r="K10" i="17"/>
  <c r="D29" i="17"/>
  <c r="L41" i="5"/>
  <c r="M41" i="5"/>
  <c r="I39" i="5"/>
  <c r="H42" i="13"/>
  <c r="H37" i="13"/>
  <c r="H58" i="13" s="1"/>
  <c r="H6" i="14"/>
  <c r="H40" i="13"/>
  <c r="H61" i="13" s="1"/>
  <c r="G30" i="13"/>
  <c r="H30" i="13" s="1"/>
  <c r="G35" i="13"/>
  <c r="G61" i="13"/>
  <c r="I21" i="13"/>
  <c r="H21" i="13" s="1"/>
  <c r="I20" i="13"/>
  <c r="H20" i="13" s="1"/>
  <c r="I16" i="13"/>
  <c r="H8" i="13"/>
  <c r="H19" i="13"/>
  <c r="H10" i="13"/>
  <c r="H11" i="13"/>
  <c r="H41" i="13"/>
  <c r="H36" i="13"/>
  <c r="H31" i="13"/>
  <c r="H45" i="13" s="1"/>
  <c r="I9" i="14"/>
  <c r="J5" i="5"/>
  <c r="M5" i="5" s="1"/>
  <c r="J6" i="5"/>
  <c r="J7" i="5"/>
  <c r="N7" i="5" s="1"/>
  <c r="J8" i="5"/>
  <c r="J9" i="5"/>
  <c r="J10" i="5"/>
  <c r="J11" i="5"/>
  <c r="M11" i="5" s="1"/>
  <c r="N11" i="5" s="1"/>
  <c r="J12" i="5"/>
  <c r="M12" i="5" s="1"/>
  <c r="N12" i="5" s="1"/>
  <c r="J13" i="5"/>
  <c r="J14" i="5"/>
  <c r="S31" i="5"/>
  <c r="R31" i="5"/>
  <c r="T22" i="5"/>
  <c r="T23" i="5"/>
  <c r="T24" i="5"/>
  <c r="T25" i="5"/>
  <c r="T26" i="5"/>
  <c r="T27" i="5"/>
  <c r="T28" i="5"/>
  <c r="T29" i="5"/>
  <c r="T30" i="5"/>
  <c r="T21" i="5"/>
  <c r="J30" i="5"/>
  <c r="M30" i="5" s="1"/>
  <c r="N30" i="5" s="1"/>
  <c r="J29" i="5"/>
  <c r="M29" i="5" s="1"/>
  <c r="N29" i="5" s="1"/>
  <c r="J28" i="5"/>
  <c r="M28" i="5" s="1"/>
  <c r="N28" i="5" s="1"/>
  <c r="J27" i="5"/>
  <c r="M27" i="5" s="1"/>
  <c r="N27" i="5" s="1"/>
  <c r="J26" i="5"/>
  <c r="M26" i="5" s="1"/>
  <c r="N26" i="5" s="1"/>
  <c r="J25" i="5"/>
  <c r="M25" i="5" s="1"/>
  <c r="N25" i="5" s="1"/>
  <c r="J24" i="5"/>
  <c r="M24" i="5" s="1"/>
  <c r="N24" i="5" s="1"/>
  <c r="J23" i="5"/>
  <c r="N23" i="5" s="1"/>
  <c r="J22" i="5"/>
  <c r="M22" i="5" s="1"/>
  <c r="N22" i="5" s="1"/>
  <c r="J21" i="5"/>
  <c r="M21" i="5" s="1"/>
  <c r="N21" i="5" s="1"/>
  <c r="M13" i="5"/>
  <c r="N13" i="5" s="1"/>
  <c r="M9" i="5"/>
  <c r="N9" i="5" s="1"/>
  <c r="C29" i="18"/>
  <c r="C30" i="18" s="1"/>
  <c r="D29" i="18"/>
  <c r="D30" i="18" s="1"/>
  <c r="B29" i="18"/>
  <c r="B30" i="18" s="1"/>
  <c r="C11" i="18"/>
  <c r="C12" i="18" s="1"/>
  <c r="D11" i="18"/>
  <c r="D12" i="18" s="1"/>
  <c r="B11" i="18"/>
  <c r="B12" i="18" s="1"/>
  <c r="M39" i="5" l="1"/>
  <c r="N5" i="5"/>
  <c r="H62" i="13"/>
  <c r="D32" i="17"/>
  <c r="D30" i="17"/>
  <c r="D31" i="17"/>
  <c r="H56" i="13"/>
  <c r="H51" i="13"/>
  <c r="H38" i="13"/>
  <c r="H35" i="13"/>
  <c r="H63" i="13"/>
  <c r="H43" i="13"/>
  <c r="H64" i="13" s="1"/>
  <c r="H16" i="13"/>
  <c r="N39" i="5"/>
  <c r="T31" i="5"/>
  <c r="M6" i="5"/>
  <c r="N6" i="5" s="1"/>
  <c r="M10" i="5"/>
  <c r="N10" i="5" s="1"/>
  <c r="M14" i="5"/>
  <c r="N14" i="5" s="1"/>
  <c r="M8" i="5"/>
  <c r="N8" i="5" s="1"/>
  <c r="K5" i="5"/>
  <c r="H33" i="13"/>
  <c r="H54" i="13" s="1"/>
  <c r="H32" i="13"/>
  <c r="H53" i="13" s="1"/>
  <c r="H9" i="13"/>
  <c r="H52" i="13" l="1"/>
  <c r="H59" i="13"/>
  <c r="F20" i="14"/>
  <c r="E20" i="14" s="1"/>
  <c r="D20" i="14" s="1"/>
  <c r="H19" i="14"/>
  <c r="I19" i="14" s="1"/>
  <c r="H18" i="14"/>
  <c r="H14" i="14"/>
  <c r="H8" i="14"/>
  <c r="I8" i="14" s="1"/>
  <c r="I10" i="14" s="1"/>
  <c r="H9" i="14" s="1"/>
  <c r="H7" i="14"/>
  <c r="I7" i="14" s="1"/>
  <c r="I6" i="14"/>
  <c r="I18" i="14" l="1"/>
  <c r="H26" i="14"/>
  <c r="H14" i="13"/>
  <c r="F16" i="12"/>
  <c r="F19" i="12" s="1"/>
  <c r="F21" i="12" s="1"/>
  <c r="E16" i="12"/>
  <c r="E19" i="12" s="1"/>
  <c r="H57" i="13" l="1"/>
  <c r="H23" i="13"/>
  <c r="F15" i="14"/>
  <c r="G15" i="14" s="1"/>
  <c r="C24" i="14"/>
  <c r="E27" i="14"/>
  <c r="D27" i="14"/>
  <c r="C27" i="14"/>
  <c r="G26" i="14"/>
  <c r="F26" i="14"/>
  <c r="E26" i="14"/>
  <c r="D26" i="14"/>
  <c r="C26" i="14"/>
  <c r="F25" i="14"/>
  <c r="E25" i="14"/>
  <c r="D25" i="14"/>
  <c r="C25" i="14"/>
  <c r="F21" i="14"/>
  <c r="F18" i="14"/>
  <c r="F24" i="14" s="1"/>
  <c r="E18" i="14"/>
  <c r="E24" i="14" s="1"/>
  <c r="D18" i="14"/>
  <c r="D24" i="14" s="1"/>
  <c r="G13" i="14"/>
  <c r="G12" i="14"/>
  <c r="H12" i="14" s="1"/>
  <c r="H24" i="14" s="1"/>
  <c r="I15" i="14" l="1"/>
  <c r="I16" i="14" s="1"/>
  <c r="H15" i="14" s="1"/>
  <c r="G25" i="14"/>
  <c r="H13" i="14"/>
  <c r="G24" i="14"/>
  <c r="G21" i="14"/>
  <c r="G64" i="13"/>
  <c r="F64" i="13"/>
  <c r="E64" i="13"/>
  <c r="D64" i="13"/>
  <c r="C64" i="13"/>
  <c r="G63" i="13"/>
  <c r="F63" i="13"/>
  <c r="E63" i="13"/>
  <c r="D63" i="13"/>
  <c r="C63" i="13"/>
  <c r="G62" i="13"/>
  <c r="F62" i="13"/>
  <c r="E62" i="13"/>
  <c r="D62" i="13"/>
  <c r="C62" i="13"/>
  <c r="F61" i="13"/>
  <c r="E61" i="13"/>
  <c r="D61" i="13"/>
  <c r="C61" i="13"/>
  <c r="G59" i="13"/>
  <c r="F59" i="13"/>
  <c r="E59" i="13"/>
  <c r="D59" i="13"/>
  <c r="C59" i="13"/>
  <c r="G58" i="13"/>
  <c r="F58" i="13"/>
  <c r="E58" i="13"/>
  <c r="D58" i="13"/>
  <c r="C58" i="13"/>
  <c r="G57" i="13"/>
  <c r="F57" i="13"/>
  <c r="E57" i="13"/>
  <c r="D57" i="13"/>
  <c r="C57" i="13"/>
  <c r="G56" i="13"/>
  <c r="F56" i="13"/>
  <c r="E56" i="13"/>
  <c r="D56" i="13"/>
  <c r="C56" i="13"/>
  <c r="G54" i="13"/>
  <c r="F54" i="13"/>
  <c r="E54" i="13"/>
  <c r="D54" i="13"/>
  <c r="C54" i="13"/>
  <c r="G53" i="13"/>
  <c r="F53" i="13"/>
  <c r="E53" i="13"/>
  <c r="D53" i="13"/>
  <c r="C53" i="13"/>
  <c r="G52" i="13"/>
  <c r="F52" i="13"/>
  <c r="E52" i="13"/>
  <c r="D52" i="13"/>
  <c r="C52" i="13"/>
  <c r="G51" i="13"/>
  <c r="F51" i="13"/>
  <c r="E51" i="13"/>
  <c r="D51" i="13"/>
  <c r="C51" i="13"/>
  <c r="H27" i="14" l="1"/>
  <c r="G27" i="14"/>
  <c r="I21" i="14"/>
  <c r="H21" i="14" s="1"/>
  <c r="I12" i="14"/>
  <c r="H25" i="14"/>
  <c r="H33" i="14" s="1"/>
  <c r="I13" i="14"/>
  <c r="D48" i="5"/>
  <c r="E48" i="5"/>
  <c r="F48" i="5"/>
  <c r="G48" i="5"/>
  <c r="H48" i="5"/>
  <c r="I48" i="5"/>
  <c r="J48" i="5"/>
  <c r="L48" i="5"/>
  <c r="M48" i="5"/>
  <c r="C48" i="5"/>
  <c r="D47" i="5"/>
  <c r="E47" i="5"/>
  <c r="F47" i="5"/>
  <c r="G47" i="5"/>
  <c r="H47" i="5"/>
  <c r="I47" i="5"/>
  <c r="J47" i="5"/>
  <c r="L47" i="5"/>
  <c r="M47" i="5"/>
  <c r="C47" i="5"/>
  <c r="D46" i="5"/>
  <c r="E46" i="5"/>
  <c r="F46" i="5"/>
  <c r="G46" i="5"/>
  <c r="H46" i="5"/>
  <c r="I46" i="5"/>
  <c r="J46" i="5"/>
  <c r="L46" i="5"/>
  <c r="M46" i="5"/>
  <c r="C46" i="5"/>
  <c r="D45" i="5"/>
  <c r="E45" i="5"/>
  <c r="F45" i="5"/>
  <c r="G45" i="5"/>
  <c r="H45" i="5"/>
  <c r="I45" i="5"/>
  <c r="J45" i="5"/>
  <c r="L45" i="5"/>
  <c r="M45" i="5"/>
  <c r="C45" i="5"/>
  <c r="D44" i="5"/>
  <c r="E44" i="5"/>
  <c r="F44" i="5"/>
  <c r="G44" i="5"/>
  <c r="H44" i="5"/>
  <c r="I44" i="5"/>
  <c r="J44" i="5"/>
  <c r="L44" i="5"/>
  <c r="M44" i="5"/>
  <c r="C44" i="5"/>
  <c r="D43" i="5"/>
  <c r="E43" i="5"/>
  <c r="F43" i="5"/>
  <c r="G43" i="5"/>
  <c r="H43" i="5"/>
  <c r="I43" i="5"/>
  <c r="J43" i="5"/>
  <c r="L43" i="5"/>
  <c r="M43" i="5"/>
  <c r="C43" i="5"/>
  <c r="D42" i="5"/>
  <c r="E42" i="5"/>
  <c r="F42" i="5"/>
  <c r="G42" i="5"/>
  <c r="H42" i="5"/>
  <c r="I42" i="5"/>
  <c r="J42" i="5"/>
  <c r="L42" i="5"/>
  <c r="M42" i="5"/>
  <c r="C42" i="5"/>
  <c r="D41" i="5"/>
  <c r="E41" i="5"/>
  <c r="F41" i="5"/>
  <c r="G41" i="5"/>
  <c r="H41" i="5"/>
  <c r="I41" i="5"/>
  <c r="J41" i="5"/>
  <c r="C41" i="5"/>
  <c r="D40" i="5"/>
  <c r="E40" i="5"/>
  <c r="F40" i="5"/>
  <c r="G40" i="5"/>
  <c r="H40" i="5"/>
  <c r="I40" i="5"/>
  <c r="J40" i="5"/>
  <c r="L40" i="5"/>
  <c r="M40" i="5"/>
  <c r="C40" i="5"/>
  <c r="D39" i="5"/>
  <c r="D49" i="5" s="1"/>
  <c r="E39" i="5"/>
  <c r="F39" i="5"/>
  <c r="G39" i="5"/>
  <c r="H39" i="5"/>
  <c r="J39" i="5"/>
  <c r="L39" i="5"/>
  <c r="C39" i="5"/>
  <c r="H49" i="5" l="1"/>
  <c r="L49" i="5"/>
  <c r="G49" i="5"/>
  <c r="F49" i="5"/>
  <c r="C49" i="5"/>
  <c r="I49" i="5"/>
  <c r="E49" i="5"/>
  <c r="J49" i="5"/>
  <c r="M49" i="5"/>
  <c r="J31" i="5"/>
  <c r="L31" i="5"/>
  <c r="M31" i="5"/>
  <c r="I31" i="5"/>
  <c r="K22" i="5"/>
  <c r="K23" i="5"/>
  <c r="K24" i="5"/>
  <c r="K25" i="5"/>
  <c r="K26" i="5"/>
  <c r="K27" i="5"/>
  <c r="K28" i="5"/>
  <c r="K29" i="5"/>
  <c r="K30" i="5"/>
  <c r="K21" i="5"/>
  <c r="K39" i="5" s="1"/>
  <c r="N40" i="5"/>
  <c r="N41" i="5"/>
  <c r="N42" i="5"/>
  <c r="N43" i="5"/>
  <c r="N44" i="5"/>
  <c r="N45" i="5"/>
  <c r="N46" i="5"/>
  <c r="N47" i="5"/>
  <c r="N48" i="5"/>
  <c r="J15" i="5"/>
  <c r="L15" i="5"/>
  <c r="M15" i="5"/>
  <c r="I15" i="5"/>
  <c r="K6" i="5"/>
  <c r="K7" i="5"/>
  <c r="K8" i="5"/>
  <c r="K9" i="5"/>
  <c r="K10" i="5"/>
  <c r="K11" i="5"/>
  <c r="K45" i="5" s="1"/>
  <c r="K12" i="5"/>
  <c r="K13" i="5"/>
  <c r="K14" i="5"/>
  <c r="K41" i="5" l="1"/>
  <c r="K48" i="5"/>
  <c r="K44" i="5"/>
  <c r="K46" i="5"/>
  <c r="K42" i="5"/>
  <c r="K47" i="5"/>
  <c r="K43" i="5"/>
  <c r="K40" i="5"/>
  <c r="N49" i="5"/>
  <c r="N15" i="5"/>
  <c r="N31" i="5"/>
  <c r="K31" i="5"/>
  <c r="K15" i="5"/>
  <c r="F27" i="14"/>
  <c r="K49" i="5" l="1"/>
</calcChain>
</file>

<file path=xl/sharedStrings.xml><?xml version="1.0" encoding="utf-8"?>
<sst xmlns="http://schemas.openxmlformats.org/spreadsheetml/2006/main" count="1182" uniqueCount="465">
  <si>
    <t>Total</t>
  </si>
  <si>
    <t>No</t>
  </si>
  <si>
    <t>Kecamatan</t>
  </si>
  <si>
    <t>Daya Tampung</t>
  </si>
  <si>
    <t>Sekotong</t>
  </si>
  <si>
    <t>Pasar  Sekotong</t>
  </si>
  <si>
    <t>Pasar Tawun</t>
  </si>
  <si>
    <t>Pasar  Pelangan</t>
  </si>
  <si>
    <t>Pasar Kedaro</t>
  </si>
  <si>
    <t>Lembar</t>
  </si>
  <si>
    <t>Pasar Lembar</t>
  </si>
  <si>
    <t>Pasar Jembatan Kembar</t>
  </si>
  <si>
    <t>Pasar Lendang Garuda</t>
  </si>
  <si>
    <t>Gerung</t>
  </si>
  <si>
    <t>Pasar Gerung</t>
  </si>
  <si>
    <t>Pasar  Beleke</t>
  </si>
  <si>
    <t>Pasar  Tempos</t>
  </si>
  <si>
    <t>Pasar  Penarukan</t>
  </si>
  <si>
    <t>Labuapi</t>
  </si>
  <si>
    <t>Pasar  Perampuan (Kr. Bongkot)</t>
  </si>
  <si>
    <t>Pasar  Jerneng</t>
  </si>
  <si>
    <t>Pasar Telaga Waru</t>
  </si>
  <si>
    <t>Kediri</t>
  </si>
  <si>
    <t>Pasar  Kediri</t>
  </si>
  <si>
    <t>Pasar  Banyu Mulek</t>
  </si>
  <si>
    <t>Pasar  Jagaraga</t>
  </si>
  <si>
    <t>Kuripan</t>
  </si>
  <si>
    <t>Pasar  Kuripan</t>
  </si>
  <si>
    <t>Pasar Giri Sasak</t>
  </si>
  <si>
    <t>Narmada</t>
  </si>
  <si>
    <t>Pasar Narmada</t>
  </si>
  <si>
    <t xml:space="preserve">Pasar Lebah Sempaga </t>
  </si>
  <si>
    <t>Pasar Keru</t>
  </si>
  <si>
    <t>Pasar  Endut</t>
  </si>
  <si>
    <t>Lingsar</t>
  </si>
  <si>
    <t>Pasar  Jelateng</t>
  </si>
  <si>
    <t>Pasar Agro</t>
  </si>
  <si>
    <t>Pasar Duman (Sigerongan)</t>
  </si>
  <si>
    <t>Gunungsari</t>
  </si>
  <si>
    <t>Pasar  Lendang Bajur</t>
  </si>
  <si>
    <t>Pasar  Lilir</t>
  </si>
  <si>
    <t>Pasar Sidemen</t>
  </si>
  <si>
    <t>Pasar Sesela</t>
  </si>
  <si>
    <t>Pasar Bukit Tinggi</t>
  </si>
  <si>
    <t>Batulayar</t>
  </si>
  <si>
    <t>Jumlah</t>
  </si>
  <si>
    <t>NO</t>
  </si>
  <si>
    <t>KECAMATAN</t>
  </si>
  <si>
    <t>Sekotong Tengah</t>
  </si>
  <si>
    <t>PERKEMBANGAN INDUSTRI ILMEA</t>
  </si>
  <si>
    <t>TAHUN 2016</t>
  </si>
  <si>
    <t>TAHUN 2017</t>
  </si>
  <si>
    <t>FORMAL</t>
  </si>
  <si>
    <t>TOTAL</t>
  </si>
  <si>
    <t>PERKEMBANGAN INDUSTRI IKAHH</t>
  </si>
  <si>
    <t>TAHUN 2018</t>
  </si>
  <si>
    <t>Pertumbuhan Industri Bidang IKAHH per Kecamatan</t>
  </si>
  <si>
    <t>Pertumbuhan Industri Bidang ILMEA per Kecamatan</t>
  </si>
  <si>
    <t>Nama /Lokasi Pasar</t>
  </si>
  <si>
    <t>Luas (m²)</t>
  </si>
  <si>
    <t>Bangunan (unit)</t>
  </si>
  <si>
    <t>Jml.</t>
  </si>
  <si>
    <t>Peda</t>
  </si>
  <si>
    <t>Gang</t>
  </si>
  <si>
    <t>Kondisi</t>
  </si>
  <si>
    <t>Aktifi tas</t>
  </si>
  <si>
    <t>Lahan</t>
  </si>
  <si>
    <t>Bangu</t>
  </si>
  <si>
    <t>nan</t>
  </si>
  <si>
    <t>Kios</t>
  </si>
  <si>
    <t>Los</t>
  </si>
  <si>
    <t>A</t>
  </si>
  <si>
    <t>PASAR UMUM</t>
  </si>
  <si>
    <t>I</t>
  </si>
  <si>
    <t>Kecamatan  Narmada</t>
  </si>
  <si>
    <t>Pasar Narmada Desa Lembuak</t>
  </si>
  <si>
    <t>Baik &amp; Baru</t>
  </si>
  <si>
    <t>Aneka Kebutuhan Masyarakat</t>
  </si>
  <si>
    <t>Harian</t>
  </si>
  <si>
    <t>Pasar Lebah Sempaga Desa : Lebah Sempaga</t>
  </si>
  <si>
    <t>2008 &amp; 2010</t>
  </si>
  <si>
    <t>Baik baru dibangun tahun 2009 &amp; 2010</t>
  </si>
  <si>
    <t>Hasil Pertanian , perkebuanan, sembako dll</t>
  </si>
  <si>
    <t>Pasar Keru Desa : Keru</t>
  </si>
  <si>
    <t>Pedagang sangat ramai tapi Kurang teratur, Parkir tidak teratur, Fasilitas kurang memadai, Keadaan bangunan pasar rusak</t>
  </si>
  <si>
    <t>Pasar  Endut Desa : Batu Mekar</t>
  </si>
  <si>
    <t>Baru direnovasi tahun 2010</t>
  </si>
  <si>
    <t>II</t>
  </si>
  <si>
    <t>Kecamatan Lingsar</t>
  </si>
  <si>
    <t>Pasar  Jelateng Desa  : Gegerung</t>
  </si>
  <si>
    <t>Padagang ramai, tapi kumuh dan tidak teratur, Lahan tersedia cukup luas, Belum ada kios, Keadaan bangunan pasar rusak</t>
  </si>
  <si>
    <t>Hasil Pertanian</t>
  </si>
  <si>
    <t>Pasar Duman Desa Duman (Pasar Sigerongan)</t>
  </si>
  <si>
    <t>-</t>
  </si>
  <si>
    <t>Kurang representatif, sering banjir, kumuh dan tidak teratur, Lahan cukup luas, Belum ada kios, Keadaan bangunan pasar rusak</t>
  </si>
  <si>
    <t>Hasil Pertanian dll</t>
  </si>
  <si>
    <t>III</t>
  </si>
  <si>
    <t>Kecamatan Gunungsari</t>
  </si>
  <si>
    <t>Pasar  Lendang Bajur Desa : Gunungsari</t>
  </si>
  <si>
    <t>Baik dan Bagus, Lantai 2 tidak dimanfaatkan, Penataan pedagang belum teratur</t>
  </si>
  <si>
    <t>Aneka kebutuhan masyarakat</t>
  </si>
  <si>
    <t xml:space="preserve">Pasar  Lilir Desa : Penimbung </t>
  </si>
  <si>
    <t>1970 &amp; 2012</t>
  </si>
  <si>
    <t>Kurang memadai, kumuh sering, banjir, ada tanah pemda, lahan, masih bisa diperluas, Belum ada kios, Keadaan bangunan los rusak</t>
  </si>
  <si>
    <t>Hasil pertanian Hasil industri dll</t>
  </si>
  <si>
    <t>Pasar Sidemen Desa : Kekait</t>
  </si>
  <si>
    <t>1972 &amp; 2013</t>
  </si>
  <si>
    <t>Bangunan sudah tua, kumuh, Belum ada kios, Tidak ada fasilitas penunjang, Keadaan bangunan los rusak</t>
  </si>
  <si>
    <t>Hasil pertanian dan Perkebunan</t>
  </si>
  <si>
    <t>Pasar Sesela Desa : Sesela</t>
  </si>
  <si>
    <t>PMPN</t>
  </si>
  <si>
    <t>Kurang memadai, kumuh dan tidak teratur, Lahan luas, pengunjung ramai, Belum ada kios</t>
  </si>
  <si>
    <t>Hasil pertanian dan Industri dll</t>
  </si>
  <si>
    <t>IV</t>
  </si>
  <si>
    <t>Kecamatan Labuapi</t>
  </si>
  <si>
    <t>Pasar  Perampuan Desa Perampuan</t>
  </si>
  <si>
    <t>Keadaan los rusak, lahan sempit,tidak teratur dan kumuh sekali</t>
  </si>
  <si>
    <t xml:space="preserve">Pasar Karang Bongkot pengganti pasar Perampuan </t>
  </si>
  <si>
    <t>&amp; 2013 &amp; 2015</t>
  </si>
  <si>
    <t>Dibangun dengan Dana DAK th' 12, Los 1 unit, toilet 2 unit, kantor pasar, dan tempah sampah, Dibangun dengan dana DAK 2015, Los 1 unit, toilet 2 unit, mushola</t>
  </si>
  <si>
    <t>Pasar  Jerneng Desa:Labuapi</t>
  </si>
  <si>
    <t>1989 &amp; 2009</t>
  </si>
  <si>
    <t>Kondisi Los Baru Dibangun 2009, Kios rusak tidak ,menarik dekat dengan bahu jalan, Ada lahan utk pengembangan,cukup luas</t>
  </si>
  <si>
    <t>Pasar Telaga Waru Desa : Telaga Waru</t>
  </si>
  <si>
    <t>Menempati ruas jalan, Tidak ada lahan,  Perlu dipindahkan</t>
  </si>
  <si>
    <t>V</t>
  </si>
  <si>
    <t>Kecamatan Gerung</t>
  </si>
  <si>
    <t>Pasar Gerung Desa  : Gerung Selatan</t>
  </si>
  <si>
    <t>Bangunan kios dan los kurang, memadai, kumuh dan tdk sesuai sbg pasar Kabupaten, lahan masih luas. Direnovasi Tahun 2012 dengan anggaran APBD II</t>
  </si>
  <si>
    <t>Pasar  Beleke Desa : Beleke</t>
  </si>
  <si>
    <t>Tidak teratur, Tertutup oleh Kantor Desa, Tidak ada kios, Keadaan los kumuh dan rusak</t>
  </si>
  <si>
    <t xml:space="preserve">Pasar  Tempos Desa : Banyu Urip </t>
  </si>
  <si>
    <t xml:space="preserve">1970 &amp; 2016 </t>
  </si>
  <si>
    <t>Kumuh dan tidak teratur,  Tidak ada kios dan  fasilitas penunjang Keadaan Rusak, Revitalisasi pasar dana APBN 2016</t>
  </si>
  <si>
    <t>Pasar  Penarukan Desa : Kebon Ayu</t>
  </si>
  <si>
    <t>Tidak teratur, tidak ada kios dan fasilitas lain Keadaan Rusak</t>
  </si>
  <si>
    <t>VI</t>
  </si>
  <si>
    <t>Kecamatan Kediri</t>
  </si>
  <si>
    <t>Pasar  Kediri Desa : Kediri</t>
  </si>
  <si>
    <t>1975 &amp; 2010 &amp; 2013 &amp; 2014</t>
  </si>
  <si>
    <t>Kumuh dan tidak teratus, Lahan luas, Bangunan sudah tua, Baru dibangun 4 los tambahan</t>
  </si>
  <si>
    <t>Pasar  Banyu Mulek Desa : Banyu Mulek</t>
  </si>
  <si>
    <t>Baik dan baru dibangun 1 Los dan 4 kios dari dana Kementerian Koperasi</t>
  </si>
  <si>
    <t>Pasar  Jagaraga Desa : Jagaraga Indah</t>
  </si>
  <si>
    <t>1976 &amp; 2016</t>
  </si>
  <si>
    <t>Lahan sempit dan tidak teratur, Pindah Dsn Tegal Jagaraga, ada tanah Pemda 49 Are, Belum ada kios, Perlu Renovasi (Renovasi thn 2016 dr APBD)</t>
  </si>
  <si>
    <t>VII</t>
  </si>
  <si>
    <t>Kecamatan Kuripan</t>
  </si>
  <si>
    <t>Pasar  Kuripan Desa : Kuripan Induk</t>
  </si>
  <si>
    <t>Keadaan bangunan los dan kios, kumuh, lahan kurang luas, Lokasi dekas sungai, Perlu Renovasi</t>
  </si>
  <si>
    <t>Aneka barang kebutuhan masy.</t>
  </si>
  <si>
    <t>Pasar  Kumbung Desa  : Kuripan Utara(dialih fungsikan)</t>
  </si>
  <si>
    <t>Los kumuh, Rendah dekat sungai, sering padat tidak teratur, banjir, Perlu relokasi dilokasi  baru, yang sudah tersedia bekas pasar hewan</t>
  </si>
  <si>
    <t>Pasar Kuripan Utara Desa Kuripan Utara pindahan pasar Kumbung</t>
  </si>
  <si>
    <t>bangunan los baru, ada mushola , toilet, tempat parkir luas, tersedia tempat pembuangan sampah sementara</t>
  </si>
  <si>
    <t>Aneka barang kebutuhan pokok masyarakat</t>
  </si>
  <si>
    <t>VIII</t>
  </si>
  <si>
    <t>Kecamatan Lembar</t>
  </si>
  <si>
    <t>Pasar Lembar Desa : Lembar Slatan</t>
  </si>
  <si>
    <t>Bagus dan baru dibangun 2 Los, 23 unit kios, 2 unit toilet dan kantor Pasar</t>
  </si>
  <si>
    <t>Pasar Jembatan Kembar Desa : Jembatan Kembar</t>
  </si>
  <si>
    <t>1987 &amp; 2012</t>
  </si>
  <si>
    <t>Kumuh tidak teratur, lahan sempit, Perlu renovasi (Direnovasi tahun 2012 dengan anggaran APBD II}</t>
  </si>
  <si>
    <t>Pasar Lendang Garuda Desa : Mareje</t>
  </si>
  <si>
    <t>Kedaan baru dibangun tahun 2009 oleh Kementrian Koperasi</t>
  </si>
  <si>
    <t>Aneka barang kebutuhan masy</t>
  </si>
  <si>
    <t xml:space="preserve">Pasar Jelateng Desa Eat Mayang </t>
  </si>
  <si>
    <t>2017 landscape APBD</t>
  </si>
  <si>
    <t>IX</t>
  </si>
  <si>
    <t>Kecamatan Sekotong</t>
  </si>
  <si>
    <t xml:space="preserve"> Pasar  Sekotong Desa : Sktong Tengah</t>
  </si>
  <si>
    <t>Los kumuh tidak teratur, Lahan masih luas, Beluam ada kios, Perlu Renovasi Total</t>
  </si>
  <si>
    <t>Pasar Tawun Desa:  Sktong Barat</t>
  </si>
  <si>
    <t>Bangunan los sempit dan kumuh, Ada tanah milik masy, Daerah wisata banyak hotel, Perlu Renovasi</t>
  </si>
  <si>
    <t>Pasar  Pelangan Desa Pelangan</t>
  </si>
  <si>
    <t>2010 &amp; 2011</t>
  </si>
  <si>
    <t>Sudah direnovasi tahap I tahun 2010, Renovasi tahap II tahun 2011 melalui dana DAK</t>
  </si>
  <si>
    <t>Pasar Kedaro Desa : Kedaro (di bangun PMPN )</t>
  </si>
  <si>
    <t>2003 PNPM</t>
  </si>
  <si>
    <t>belum permanen, Revitalisasi dana APBD 2016 (los pasar 1 unit )</t>
  </si>
  <si>
    <t>Mingguan</t>
  </si>
  <si>
    <t>Pasar Agro  Kec. Lingsar</t>
  </si>
  <si>
    <t>Baru, dibangun Tahaun 2017</t>
  </si>
  <si>
    <t>Pasar Bukit Tinggi Kec. Gunungsari</t>
  </si>
  <si>
    <t>Pasar Giri Sasak Kec. Kuripan</t>
  </si>
  <si>
    <t>TOTAL PASAR UMUM</t>
  </si>
  <si>
    <t>SIUP</t>
  </si>
  <si>
    <t>TDP</t>
  </si>
  <si>
    <t>Jumlah SIUP dan TDP Tahun 2017</t>
  </si>
  <si>
    <t xml:space="preserve">LOKASI </t>
  </si>
  <si>
    <t>JENIS UTTP</t>
  </si>
  <si>
    <t>JMLH</t>
  </si>
  <si>
    <t>UTTP</t>
  </si>
  <si>
    <t>WAJIB TERA</t>
  </si>
  <si>
    <t>(Orang)</t>
  </si>
  <si>
    <t>TM</t>
  </si>
  <si>
    <t>CB</t>
  </si>
  <si>
    <t>DL</t>
  </si>
  <si>
    <t>NE</t>
  </si>
  <si>
    <t>TE</t>
  </si>
  <si>
    <t>TP</t>
  </si>
  <si>
    <t>TK</t>
  </si>
  <si>
    <t>TBI</t>
  </si>
  <si>
    <t>ATB</t>
  </si>
  <si>
    <t>ATE</t>
  </si>
  <si>
    <t>Pasar Sekotong</t>
  </si>
  <si>
    <t>Pasar Pelangan</t>
  </si>
  <si>
    <t>Pasar Kuripan</t>
  </si>
  <si>
    <t>Pasar Kumbung</t>
  </si>
  <si>
    <t>Pasar Jagaraga</t>
  </si>
  <si>
    <t>Pasar Jereneng</t>
  </si>
  <si>
    <t>Pasar Karang Bongkot</t>
  </si>
  <si>
    <t>Pasar Beleke</t>
  </si>
  <si>
    <t>Ps.Tempos/ Banyu Urip</t>
  </si>
  <si>
    <t>Ps.Penarukan/ Kebun Ayu</t>
  </si>
  <si>
    <t>Pasar Jelateng/ Lingsar</t>
  </si>
  <si>
    <t>Ps.Sigerongan/ Duman</t>
  </si>
  <si>
    <t>Pasar Endut</t>
  </si>
  <si>
    <t>Desa Gelangsar</t>
  </si>
  <si>
    <t>Ps.Lendang Bajur/Gn.sari</t>
  </si>
  <si>
    <t>Pasar Lilir</t>
  </si>
  <si>
    <t>Desa Batu Mekar</t>
  </si>
  <si>
    <t>Pasar Banyumulek</t>
  </si>
  <si>
    <t>Pasar Kediri</t>
  </si>
  <si>
    <t>Desa Gelogor</t>
  </si>
  <si>
    <t xml:space="preserve">Jumlah </t>
  </si>
  <si>
    <t>KETERANGAN :</t>
  </si>
  <si>
    <t>: Timbangan Meja</t>
  </si>
  <si>
    <t xml:space="preserve">    NE</t>
  </si>
  <si>
    <t>: Neraca Emas</t>
  </si>
  <si>
    <t xml:space="preserve">   TK</t>
  </si>
  <si>
    <t>: Timbangan Kuadran</t>
  </si>
  <si>
    <t>: Centimal Bastile</t>
  </si>
  <si>
    <t xml:space="preserve">   TE</t>
  </si>
  <si>
    <t>: Timbangan Elektronik</t>
  </si>
  <si>
    <t xml:space="preserve">   TBI</t>
  </si>
  <si>
    <t>: Timbangan Bobot Insut</t>
  </si>
  <si>
    <t>: Dacin Logam</t>
  </si>
  <si>
    <t xml:space="preserve">   TP</t>
  </si>
  <si>
    <t>: Timbangan Pegas</t>
  </si>
  <si>
    <t xml:space="preserve">   ATB</t>
  </si>
  <si>
    <t>: Anak Timbangan Biasa</t>
  </si>
  <si>
    <t xml:space="preserve">   ATE</t>
  </si>
  <si>
    <t>: Anak Timbangan Emas</t>
  </si>
  <si>
    <t>NO.</t>
  </si>
  <si>
    <t>NAMA SPBU/SPBN</t>
  </si>
  <si>
    <t>NO. SPBU/SPBN</t>
  </si>
  <si>
    <t>JUMLAH NOZLE</t>
  </si>
  <si>
    <t>SPBU Beleka/Rumak</t>
  </si>
  <si>
    <t>54.833.01</t>
  </si>
  <si>
    <t>12 NOZLE</t>
  </si>
  <si>
    <t>SPBU Narmada</t>
  </si>
  <si>
    <t>54.833.02</t>
  </si>
  <si>
    <t>10 NOZLE</t>
  </si>
  <si>
    <t>SPBU Bengkel</t>
  </si>
  <si>
    <t>54.833.03</t>
  </si>
  <si>
    <t xml:space="preserve">  8 NOZLE</t>
  </si>
  <si>
    <t>SPBU Meninting</t>
  </si>
  <si>
    <t>54.833.04</t>
  </si>
  <si>
    <t>16 NOZLE</t>
  </si>
  <si>
    <t>SPBU Jembatan Kembar</t>
  </si>
  <si>
    <t>54.833.06</t>
  </si>
  <si>
    <t>SPBU Dasan Tereng</t>
  </si>
  <si>
    <t>54.833.07</t>
  </si>
  <si>
    <t>18 NOZLE</t>
  </si>
  <si>
    <t>SPBU Kediri</t>
  </si>
  <si>
    <t>54.833.08</t>
  </si>
  <si>
    <t>11 NOZLE</t>
  </si>
  <si>
    <t>SPBU Gunungsari</t>
  </si>
  <si>
    <t>54.833.10</t>
  </si>
  <si>
    <t xml:space="preserve">  6 NOZLE</t>
  </si>
  <si>
    <t>SPBU Gerung</t>
  </si>
  <si>
    <t>54.833.11</t>
  </si>
  <si>
    <t>28 NOZLE</t>
  </si>
  <si>
    <t>SPBN Sekotong/ Pelangan</t>
  </si>
  <si>
    <t xml:space="preserve">  2 NOZLE</t>
  </si>
  <si>
    <t>JUMLAH</t>
  </si>
  <si>
    <t>119 NOZLE</t>
  </si>
  <si>
    <t>NAMA/NO. SPBU</t>
  </si>
  <si>
    <t>JENIS BBM</t>
  </si>
  <si>
    <t>HASIL PENGUKURAN 20 LITER +/-(ml)</t>
  </si>
  <si>
    <t>KETERANGAN</t>
  </si>
  <si>
    <t>Pertamax</t>
  </si>
  <si>
    <t>Hasil masih dalam batas toleransi</t>
  </si>
  <si>
    <t>Premium</t>
  </si>
  <si>
    <t>Solar</t>
  </si>
  <si>
    <t>Pertalite</t>
  </si>
  <si>
    <t>Beleka/Rumak,</t>
  </si>
  <si>
    <t>Jembatan Kembar'Lembar</t>
  </si>
  <si>
    <t>Meninting</t>
  </si>
  <si>
    <t>Bengkel, Labuapi</t>
  </si>
  <si>
    <t>Dasan Tereng,</t>
  </si>
  <si>
    <t>PENGAWASAN SPBU 2017</t>
  </si>
  <si>
    <t>Pasar rumak</t>
  </si>
  <si>
    <t>Pasar Kuripan Utara</t>
  </si>
  <si>
    <t>Komoditi yang diperdagangkan</t>
  </si>
  <si>
    <t>Tahun Didirikan/Renovasi</t>
  </si>
  <si>
    <t>TAHUN 2019</t>
  </si>
  <si>
    <t xml:space="preserve"> EKSPORTIR KOMODITI BERDASARKAN NEGARA TUJUAN TAHUN 2019</t>
  </si>
  <si>
    <t>EKSPORTIR</t>
  </si>
  <si>
    <t>K O M O D I T I</t>
  </si>
  <si>
    <t>NEGARA TUJUAN</t>
  </si>
  <si>
    <t>JANUARI S/D  NOVEMBER 2019</t>
  </si>
  <si>
    <t>VOLUME</t>
  </si>
  <si>
    <t>NILAI (US.$)</t>
  </si>
  <si>
    <t>1</t>
  </si>
  <si>
    <t>2</t>
  </si>
  <si>
    <t>3</t>
  </si>
  <si>
    <t>4</t>
  </si>
  <si>
    <t>5</t>
  </si>
  <si>
    <t>6</t>
  </si>
  <si>
    <t>1.</t>
  </si>
  <si>
    <t>UD. Nusa Indah</t>
  </si>
  <si>
    <t>Krjn. Ketak</t>
  </si>
  <si>
    <t>1. Filipina</t>
  </si>
  <si>
    <t xml:space="preserve">Jl. Karang Bayan No. 1 Dusun Peresak </t>
  </si>
  <si>
    <t>2. Thailand</t>
  </si>
  <si>
    <t>Timur Desa Karang Bayan Kec. Lingsar</t>
  </si>
  <si>
    <t>3. Malaysia</t>
  </si>
  <si>
    <t>4. UEA</t>
  </si>
  <si>
    <t>UD. Berkah Alam</t>
  </si>
  <si>
    <t>Kopi</t>
  </si>
  <si>
    <t>1. Korea</t>
  </si>
  <si>
    <t>Jl. Menggaris II Blok AI No. 20 Perumahan Pemda Kel. Dasan Geres, Lobar, Gerung</t>
  </si>
  <si>
    <t>2. Hongkong</t>
  </si>
  <si>
    <t>PT. Indo Kreatif Natural Jl. Sikas P12 Perum. Puncang Hijau Blok Blok P No. 12  Sandik Gunung Sari</t>
  </si>
  <si>
    <t>Krjn. Buah Kering</t>
  </si>
  <si>
    <t>1. Belanda</t>
  </si>
  <si>
    <t>Lombok Mutiara Sekarbela Jl. Raya Senggigi Batulayar, Lobar</t>
  </si>
  <si>
    <t>Mutiara</t>
  </si>
  <si>
    <t>1. China</t>
  </si>
  <si>
    <t xml:space="preserve">TOTAL </t>
  </si>
  <si>
    <t>Pertumbuhan Industri dinas perindustrian dan perdagangan Kabupaten Lombok Barat per Kecamatan</t>
  </si>
  <si>
    <t xml:space="preserve">PERKEMBANGAN INDUSTRI </t>
  </si>
  <si>
    <t>DATA STATISTIK  DASAR/SEKTORAL</t>
  </si>
  <si>
    <t xml:space="preserve"> JENIS INDUSTRI FORMAL BIDANG IKAHH</t>
  </si>
  <si>
    <t xml:space="preserve">        Hal    :  1 - 2</t>
  </si>
  <si>
    <t>JENIS INDUSTRI</t>
  </si>
  <si>
    <t xml:space="preserve"> PERTUMBUHAN INDUSTRI</t>
  </si>
  <si>
    <t xml:space="preserve"> INDUSTRI PENGOLAHAN PANGAN</t>
  </si>
  <si>
    <t xml:space="preserve"> 1. Jumlah  Unit Industri ( uu )</t>
  </si>
  <si>
    <t xml:space="preserve"> 2. Jumlah Tenaga Kerja ( Org )</t>
  </si>
  <si>
    <t xml:space="preserve"> 3. Jumlah Produksi  ( KG )</t>
  </si>
  <si>
    <t xml:space="preserve"> 4. Nilai Produksi ( 000 )</t>
  </si>
  <si>
    <t xml:space="preserve"> INDUSTRI PENGOLAHAN  KAYU</t>
  </si>
  <si>
    <t xml:space="preserve"> 3. Jumlah Produksi  ( Buah )</t>
  </si>
  <si>
    <t xml:space="preserve"> INDUSTRI KIMIA/BANGUNAN</t>
  </si>
  <si>
    <t xml:space="preserve"> JENIS INDUSTRI NON FORMAL BIDANG IKAHH</t>
  </si>
  <si>
    <t>JENIS INDUSTERI</t>
  </si>
  <si>
    <t xml:space="preserve"> PERTUMBUHAN INDUSTERI</t>
  </si>
  <si>
    <t xml:space="preserve"> 1. Jumlah  Unit Industri  (uu )</t>
  </si>
  <si>
    <t xml:space="preserve"> 4. Nilai Produksi  ( 000 )</t>
  </si>
  <si>
    <t xml:space="preserve"> INDUSTRI  KIMIA/ BANGUNAN</t>
  </si>
  <si>
    <t xml:space="preserve"> JENIS INDUSTRI FORMAL DAN NON FORMAL BIDANG IKAHH</t>
  </si>
  <si>
    <t>DINAS PERINDUSTRIAN DAN PERDAGANGAN KABUPATEN LOMBOK  BARAT TAHUN 2014 s/d 2019</t>
  </si>
  <si>
    <t xml:space="preserve"> JENIS INDUSTRI FORMAL  DAN NON FORMAL BIDANG ILMEA</t>
  </si>
  <si>
    <t xml:space="preserve"> INDUSTRI LOGAM,MESIN DAN ALAT ANGKUT</t>
  </si>
  <si>
    <t xml:space="preserve"> INDUSTRI TEKSTIL</t>
  </si>
  <si>
    <t xml:space="preserve"> INDUSTRI  ELEKTRO DAN ANEKA</t>
  </si>
  <si>
    <t xml:space="preserve"> 3. Jumlah Produksi  ( Kg )</t>
  </si>
  <si>
    <t>UD. Indonature Perumahan Bumi Selaprang Asri II Blok Rinjani  12, Midang</t>
  </si>
  <si>
    <t>1. Krjn. Buah Kering</t>
  </si>
  <si>
    <t>1. USA</t>
  </si>
  <si>
    <t>NON FRML</t>
  </si>
  <si>
    <t>NON FORMAL</t>
  </si>
  <si>
    <t>Perkembangan Industri</t>
  </si>
  <si>
    <t>Jumlah Industri s/d Thn 2017</t>
  </si>
  <si>
    <t>Jumlah Industri s/d Thn 2018</t>
  </si>
  <si>
    <t>Kelompok Industrial Industrial Group</t>
  </si>
  <si>
    <t>Formal</t>
  </si>
  <si>
    <t>Informal</t>
  </si>
  <si>
    <t>Jumlah Perusahaan / Number of Company</t>
  </si>
  <si>
    <t>Tenaga Kerja Laabor</t>
  </si>
  <si>
    <t>Nilai Produksi / Production Value (Rp 000)</t>
  </si>
  <si>
    <t>Nilai Bahan Baku / Raw Material Value (Rp 000)</t>
  </si>
  <si>
    <t>DATA 2018</t>
  </si>
  <si>
    <t>Investasi / Investment  (Rp 000)</t>
  </si>
  <si>
    <t>RATA2</t>
  </si>
  <si>
    <t>TAHUN</t>
  </si>
  <si>
    <t>Unit Usaha</t>
  </si>
  <si>
    <t>Tenaga Kerja</t>
  </si>
  <si>
    <t>Industri ILMEA</t>
  </si>
  <si>
    <t>Industri IKAHH</t>
  </si>
  <si>
    <t>Pertumbuhan</t>
  </si>
  <si>
    <t>Industri</t>
  </si>
  <si>
    <t>Pembangunan Pasar Tradisonal (Unit)</t>
  </si>
  <si>
    <t>REKAPITULASI DATA PASAR TRADISIONAL DI KABUPATEN LOMBOK BARAT TAHUN 2016 S/D 2019</t>
  </si>
  <si>
    <t>Data Pembangunan Pasar Umum di Kab. Lombok Barat Tahun 2017</t>
  </si>
  <si>
    <t>Kec.</t>
  </si>
  <si>
    <t>Kel./Desa</t>
  </si>
  <si>
    <t>Lapak Kuliner dan PKL</t>
  </si>
  <si>
    <t>Lokasi</t>
  </si>
  <si>
    <t xml:space="preserve">Jml Lokal    </t>
  </si>
  <si>
    <t>Kondisi Lapak</t>
  </si>
  <si>
    <t>Terpakai</t>
  </si>
  <si>
    <t>Tdk Terpakai</t>
  </si>
  <si>
    <t>Geung</t>
  </si>
  <si>
    <t>Belakang Bank NTB</t>
  </si>
  <si>
    <t>Depan RSUD Tripat</t>
  </si>
  <si>
    <t>Sesaot</t>
  </si>
  <si>
    <t>Golong</t>
  </si>
  <si>
    <t>Desa Golong</t>
  </si>
  <si>
    <t>Gerimak Indah</t>
  </si>
  <si>
    <t>Depan POM BBM Narmada</t>
  </si>
  <si>
    <t>lembah sari</t>
  </si>
  <si>
    <t>Lembah sari</t>
  </si>
  <si>
    <t>Monting Are</t>
  </si>
  <si>
    <t>Desa Montong Are</t>
  </si>
  <si>
    <t>Banyu Mulek</t>
  </si>
  <si>
    <t>Desa Banyumulek</t>
  </si>
  <si>
    <t>Kuripan Induk</t>
  </si>
  <si>
    <t>Samping Pasar Kuripan Induk</t>
  </si>
  <si>
    <t>Tongkek</t>
  </si>
  <si>
    <t>Dusun Tongkek</t>
  </si>
  <si>
    <t>Bagi Polak</t>
  </si>
  <si>
    <t>Bagik Polak</t>
  </si>
  <si>
    <t>Bajur</t>
  </si>
  <si>
    <t xml:space="preserve">Depan Lapangan </t>
  </si>
  <si>
    <t>Kuranji Dalang</t>
  </si>
  <si>
    <t>Pinggir pantai uranji dalang</t>
  </si>
  <si>
    <t>senggigi</t>
  </si>
  <si>
    <t>Depan Hotel Montana</t>
  </si>
  <si>
    <t>batu layar</t>
  </si>
  <si>
    <t>depan makam batulayar</t>
  </si>
  <si>
    <t>Pusuk Lestari</t>
  </si>
  <si>
    <t xml:space="preserve">wisata pusuk lestari geo park </t>
  </si>
  <si>
    <t>langko</t>
  </si>
  <si>
    <t>Samping UPT Gula Aren Langko</t>
  </si>
  <si>
    <t>dekat pelabuhan lembar</t>
  </si>
  <si>
    <t>Jembatan Gantung</t>
  </si>
  <si>
    <t>Sebelah barat lampu merah jembatan kembar</t>
  </si>
  <si>
    <t>Tawun</t>
  </si>
  <si>
    <t>Taman Wisata tawun</t>
  </si>
  <si>
    <t>Pantai Duduk Batulayar</t>
  </si>
  <si>
    <t>REKAPITULASI LAPAK KULINER DAN PKL DI KABUPATEN LOMBOK BARAT SAMPAI  TAHUN 2020</t>
  </si>
  <si>
    <t>INDIKATOR KINERJA</t>
  </si>
  <si>
    <t>SATUAN</t>
  </si>
  <si>
    <t>TARGET KINERJA PADA TAHUN KE-</t>
  </si>
  <si>
    <t>Persentase pertumbuhan industri</t>
  </si>
  <si>
    <t>%</t>
  </si>
  <si>
    <t>TARGET</t>
  </si>
  <si>
    <t>REALISASI</t>
  </si>
  <si>
    <t>4,49</t>
  </si>
  <si>
    <t>2,49</t>
  </si>
  <si>
    <t>Nilai bersih ekspor daerah</t>
  </si>
  <si>
    <t>Milyar</t>
  </si>
  <si>
    <t xml:space="preserve">Sigerongan </t>
  </si>
  <si>
    <t>Depan Puskesmas Sigerongan</t>
  </si>
  <si>
    <t>Wisata Sesaot</t>
  </si>
  <si>
    <t>Depan Mesjid Lingasar</t>
  </si>
  <si>
    <t>PDRB</t>
  </si>
  <si>
    <t>tahun</t>
  </si>
  <si>
    <t>kontribusi sektor industri</t>
  </si>
  <si>
    <t>sektor industri (miliar)</t>
  </si>
  <si>
    <t>ikahh formal</t>
  </si>
  <si>
    <t>formal</t>
  </si>
  <si>
    <t>Investasi / Investment</t>
  </si>
  <si>
    <t>ikahh</t>
  </si>
  <si>
    <t>kecamatan</t>
  </si>
  <si>
    <t xml:space="preserve">Jumlah  lokal Lapak    </t>
  </si>
  <si>
    <t>Kondisi Lokal Lapak</t>
  </si>
  <si>
    <t>tdak Terpakai</t>
  </si>
  <si>
    <t>jembatan kembar</t>
  </si>
  <si>
    <t>Depan Desa Banyumulek</t>
  </si>
  <si>
    <t>Sumber : Disperindag Kab. Lombok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</si>
</sst>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_);_(@_)"/>
    <numFmt numFmtId="167" formatCode="_-* #,##0.0_-;\-* #,##0.0_-;_-* &quot;-&quot;_-;_-@_-"/>
    <numFmt numFmtId="168" formatCode="_-* #,##0.00_-;\-* #,##0.00_-;_-* &quot;-&quot;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0"/>
      <color rgb="FF000000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sz val="8"/>
      <color rgb="FFFF0000"/>
      <name val="Cambria"/>
      <family val="1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20"/>
      <color theme="1"/>
      <name val="Calibri"/>
      <family val="2"/>
      <charset val="1"/>
      <scheme val="minor"/>
    </font>
    <font>
      <b/>
      <sz val="18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Arial Black"/>
      <family val="2"/>
    </font>
    <font>
      <b/>
      <sz val="8"/>
      <color rgb="FF000000"/>
      <name val="Bookman Old Style"/>
      <family val="1"/>
    </font>
    <font>
      <sz val="8"/>
      <color rgb="FF000000"/>
      <name val="Bookman Old Style"/>
      <family val="1"/>
    </font>
    <font>
      <sz val="8"/>
      <color rgb="FFFF0000"/>
      <name val="Calibri"/>
      <family val="2"/>
      <scheme val="minor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Unicode MS"/>
      <family val="2"/>
    </font>
    <font>
      <sz val="8"/>
      <color rgb="FFFF0000"/>
      <name val="Arial Unicode MS"/>
      <family val="2"/>
    </font>
    <font>
      <b/>
      <sz val="11"/>
      <color rgb="FF000000"/>
      <name val="Cambria"/>
      <family val="1"/>
    </font>
    <font>
      <sz val="9"/>
      <color rgb="FF000000"/>
      <name val="Bookman Old Style"/>
      <family val="1"/>
    </font>
    <font>
      <b/>
      <sz val="9"/>
      <color rgb="FF000000"/>
      <name val="Bookman Old Style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6" xfId="0" applyFont="1" applyBorder="1"/>
    <xf numFmtId="0" fontId="3" fillId="4" borderId="26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4" borderId="3" xfId="0" applyFont="1" applyFill="1" applyBorder="1"/>
    <xf numFmtId="0" fontId="11" fillId="4" borderId="6" xfId="0" applyFont="1" applyFill="1" applyBorder="1"/>
    <xf numFmtId="0" fontId="11" fillId="4" borderId="6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14" xfId="0" applyFont="1" applyBorder="1"/>
    <xf numFmtId="0" fontId="11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vertical="top"/>
    </xf>
    <xf numFmtId="0" fontId="11" fillId="0" borderId="4" xfId="0" applyFont="1" applyBorder="1"/>
    <xf numFmtId="0" fontId="11" fillId="0" borderId="4" xfId="0" applyFont="1" applyBorder="1" applyAlignment="1">
      <alignment horizontal="center" vertical="top"/>
    </xf>
    <xf numFmtId="0" fontId="11" fillId="8" borderId="3" xfId="0" applyFont="1" applyFill="1" applyBorder="1"/>
    <xf numFmtId="0" fontId="11" fillId="8" borderId="6" xfId="0" applyFont="1" applyFill="1" applyBorder="1" applyAlignment="1">
      <alignment horizontal="center" vertical="top"/>
    </xf>
    <xf numFmtId="3" fontId="11" fillId="8" borderId="6" xfId="0" applyNumberFormat="1" applyFont="1" applyFill="1" applyBorder="1" applyAlignment="1">
      <alignment horizontal="center" vertical="top"/>
    </xf>
    <xf numFmtId="0" fontId="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3" fillId="5" borderId="26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24" xfId="0" applyFont="1" applyBorder="1"/>
    <xf numFmtId="0" fontId="11" fillId="0" borderId="26" xfId="0" applyFont="1" applyBorder="1" applyAlignment="1">
      <alignment horizontal="center"/>
    </xf>
    <xf numFmtId="0" fontId="11" fillId="0" borderId="29" xfId="0" applyFont="1" applyBorder="1"/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1" fillId="0" borderId="14" xfId="0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0" fontId="0" fillId="0" borderId="0" xfId="0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8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3" fontId="8" fillId="7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1" fontId="0" fillId="0" borderId="0" xfId="0" applyNumberFormat="1"/>
    <xf numFmtId="1" fontId="16" fillId="0" borderId="0" xfId="0" applyNumberFormat="1" applyFont="1"/>
    <xf numFmtId="0" fontId="16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19" fillId="9" borderId="41" xfId="1" applyNumberFormat="1" applyFont="1" applyFill="1" applyBorder="1" applyAlignment="1">
      <alignment horizontal="center" vertical="center"/>
    </xf>
    <xf numFmtId="166" fontId="19" fillId="9" borderId="42" xfId="1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1" xfId="0" quotePrefix="1" applyFont="1" applyFill="1" applyBorder="1" applyAlignment="1">
      <alignment horizontal="center"/>
    </xf>
    <xf numFmtId="166" fontId="19" fillId="10" borderId="1" xfId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4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Fill="1"/>
    <xf numFmtId="3" fontId="0" fillId="0" borderId="0" xfId="0" applyNumberFormat="1" applyFill="1"/>
    <xf numFmtId="164" fontId="0" fillId="0" borderId="0" xfId="1" applyFont="1" applyFill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7" fillId="0" borderId="0" xfId="0" applyFont="1"/>
    <xf numFmtId="0" fontId="28" fillId="0" borderId="0" xfId="0" applyFont="1"/>
    <xf numFmtId="0" fontId="26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4" fillId="0" borderId="1" xfId="0" applyFont="1" applyBorder="1"/>
    <xf numFmtId="41" fontId="14" fillId="0" borderId="1" xfId="0" applyNumberFormat="1" applyFont="1" applyBorder="1"/>
    <xf numFmtId="41" fontId="14" fillId="0" borderId="1" xfId="1" applyNumberFormat="1" applyFont="1" applyBorder="1"/>
    <xf numFmtId="0" fontId="30" fillId="0" borderId="0" xfId="0" applyFont="1"/>
    <xf numFmtId="0" fontId="13" fillId="0" borderId="0" xfId="0" applyFont="1"/>
    <xf numFmtId="164" fontId="14" fillId="0" borderId="1" xfId="1" applyFont="1" applyBorder="1"/>
    <xf numFmtId="0" fontId="24" fillId="0" borderId="0" xfId="0" applyFont="1" applyBorder="1"/>
    <xf numFmtId="41" fontId="31" fillId="0" borderId="0" xfId="0" applyNumberFormat="1" applyFont="1" applyBorder="1"/>
    <xf numFmtId="0" fontId="29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41" fontId="0" fillId="0" borderId="0" xfId="0" applyNumberFormat="1"/>
    <xf numFmtId="0" fontId="0" fillId="0" borderId="1" xfId="0" applyFill="1" applyBorder="1" applyAlignment="1">
      <alignment horizontal="left" vertical="center" wrapText="1"/>
    </xf>
    <xf numFmtId="0" fontId="21" fillId="0" borderId="43" xfId="0" applyFont="1" applyFill="1" applyBorder="1" applyAlignment="1">
      <alignment horizontal="left" vertical="center"/>
    </xf>
    <xf numFmtId="166" fontId="21" fillId="0" borderId="43" xfId="1" quotePrefix="1" applyNumberFormat="1" applyFont="1" applyFill="1" applyBorder="1" applyAlignment="1">
      <alignment horizontal="left" vertical="center"/>
    </xf>
    <xf numFmtId="165" fontId="0" fillId="9" borderId="1" xfId="0" applyNumberFormat="1" applyFill="1" applyBorder="1" applyAlignment="1">
      <alignment horizontal="left"/>
    </xf>
    <xf numFmtId="166" fontId="21" fillId="0" borderId="43" xfId="1" quotePrefix="1" applyNumberFormat="1" applyFont="1" applyFill="1" applyBorder="1" applyAlignment="1">
      <alignment horizontal="right" vertical="center"/>
    </xf>
    <xf numFmtId="166" fontId="21" fillId="0" borderId="31" xfId="1" quotePrefix="1" applyNumberFormat="1" applyFont="1" applyFill="1" applyBorder="1" applyAlignment="1">
      <alignment horizontal="right" vertical="center"/>
    </xf>
    <xf numFmtId="166" fontId="21" fillId="2" borderId="31" xfId="1" quotePrefix="1" applyNumberFormat="1" applyFont="1" applyFill="1" applyBorder="1" applyAlignment="1">
      <alignment horizontal="right" vertical="center"/>
    </xf>
    <xf numFmtId="41" fontId="0" fillId="0" borderId="1" xfId="0" applyNumberFormat="1" applyBorder="1"/>
    <xf numFmtId="2" fontId="0" fillId="0" borderId="0" xfId="0" applyNumberFormat="1"/>
    <xf numFmtId="164" fontId="0" fillId="0" borderId="1" xfId="1" applyFont="1" applyBorder="1"/>
    <xf numFmtId="168" fontId="0" fillId="0" borderId="0" xfId="1" applyNumberFormat="1" applyFont="1"/>
    <xf numFmtId="0" fontId="24" fillId="2" borderId="1" xfId="0" applyFont="1" applyFill="1" applyBorder="1"/>
    <xf numFmtId="0" fontId="0" fillId="2" borderId="1" xfId="0" applyFill="1" applyBorder="1"/>
    <xf numFmtId="0" fontId="0" fillId="0" borderId="44" xfId="0" applyBorder="1"/>
    <xf numFmtId="0" fontId="10" fillId="0" borderId="44" xfId="0" applyFont="1" applyFill="1" applyBorder="1" applyAlignment="1">
      <alignment horizontal="center" vertical="center"/>
    </xf>
    <xf numFmtId="1" fontId="10" fillId="0" borderId="44" xfId="0" applyNumberFormat="1" applyFont="1" applyFill="1" applyBorder="1" applyAlignment="1">
      <alignment horizontal="center" vertical="center"/>
    </xf>
    <xf numFmtId="1" fontId="17" fillId="0" borderId="44" xfId="0" applyNumberFormat="1" applyFont="1" applyFill="1" applyBorder="1" applyAlignment="1">
      <alignment horizontal="center" vertical="center"/>
    </xf>
    <xf numFmtId="1" fontId="0" fillId="0" borderId="44" xfId="0" applyNumberFormat="1" applyBorder="1"/>
    <xf numFmtId="0" fontId="0" fillId="0" borderId="0" xfId="0" applyAlignment="1">
      <alignment wrapText="1"/>
    </xf>
    <xf numFmtId="0" fontId="33" fillId="0" borderId="3" xfId="0" applyFont="1" applyBorder="1" applyAlignment="1">
      <alignment horizontal="center"/>
    </xf>
    <xf numFmtId="0" fontId="33" fillId="0" borderId="6" xfId="0" applyFont="1" applyBorder="1"/>
    <xf numFmtId="0" fontId="33" fillId="0" borderId="10" xfId="0" applyFont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6" xfId="0" applyFont="1" applyFill="1" applyBorder="1"/>
    <xf numFmtId="3" fontId="32" fillId="4" borderId="10" xfId="0" applyNumberFormat="1" applyFont="1" applyFill="1" applyBorder="1"/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64" fontId="0" fillId="0" borderId="1" xfId="1" applyFont="1" applyBorder="1" applyAlignment="1">
      <alignment horizontal="center"/>
    </xf>
    <xf numFmtId="164" fontId="0" fillId="12" borderId="1" xfId="1" applyFont="1" applyFill="1" applyBorder="1"/>
    <xf numFmtId="164" fontId="0" fillId="12" borderId="1" xfId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4" fontId="10" fillId="0" borderId="1" xfId="1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horizontal="center"/>
    </xf>
    <xf numFmtId="0" fontId="35" fillId="5" borderId="1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center"/>
    </xf>
    <xf numFmtId="0" fontId="36" fillId="0" borderId="1" xfId="0" applyFont="1" applyBorder="1"/>
    <xf numFmtId="0" fontId="36" fillId="0" borderId="1" xfId="0" applyFont="1" applyBorder="1" applyAlignment="1">
      <alignment horizontal="center" wrapText="1"/>
    </xf>
    <xf numFmtId="0" fontId="35" fillId="5" borderId="1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/>
    </xf>
    <xf numFmtId="0" fontId="10" fillId="0" borderId="1" xfId="0" applyFont="1" applyBorder="1"/>
    <xf numFmtId="164" fontId="0" fillId="0" borderId="1" xfId="1" applyFont="1" applyFill="1" applyBorder="1"/>
    <xf numFmtId="164" fontId="10" fillId="0" borderId="1" xfId="1" applyFont="1" applyFill="1" applyBorder="1" applyAlignment="1">
      <alignment horizontal="center"/>
    </xf>
    <xf numFmtId="0" fontId="9" fillId="12" borderId="15" xfId="0" applyFont="1" applyFill="1" applyBorder="1" applyAlignment="1">
      <alignment horizontal="center"/>
    </xf>
    <xf numFmtId="0" fontId="9" fillId="12" borderId="1" xfId="0" applyFont="1" applyFill="1" applyBorder="1"/>
    <xf numFmtId="164" fontId="9" fillId="12" borderId="1" xfId="1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vertical="center"/>
    </xf>
    <xf numFmtId="164" fontId="9" fillId="12" borderId="1" xfId="1" applyFont="1" applyFill="1" applyBorder="1" applyAlignment="1">
      <alignment horizontal="center" vertical="center"/>
    </xf>
    <xf numFmtId="164" fontId="0" fillId="0" borderId="0" xfId="0" applyNumberFormat="1"/>
    <xf numFmtId="0" fontId="37" fillId="12" borderId="1" xfId="0" applyFont="1" applyFill="1" applyBorder="1"/>
    <xf numFmtId="0" fontId="37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9" fillId="13" borderId="1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164" fontId="39" fillId="0" borderId="1" xfId="1" applyFont="1" applyBorder="1"/>
    <xf numFmtId="164" fontId="39" fillId="12" borderId="1" xfId="1" applyFont="1" applyFill="1" applyBorder="1"/>
    <xf numFmtId="0" fontId="39" fillId="0" borderId="0" xfId="0" applyFont="1"/>
    <xf numFmtId="0" fontId="38" fillId="0" borderId="1" xfId="0" applyFont="1" applyBorder="1"/>
    <xf numFmtId="0" fontId="2" fillId="0" borderId="1" xfId="0" applyFont="1" applyBorder="1"/>
    <xf numFmtId="41" fontId="2" fillId="2" borderId="1" xfId="0" applyNumberFormat="1" applyFont="1" applyFill="1" applyBorder="1"/>
    <xf numFmtId="164" fontId="2" fillId="2" borderId="1" xfId="0" applyNumberFormat="1" applyFont="1" applyFill="1" applyBorder="1"/>
    <xf numFmtId="41" fontId="2" fillId="0" borderId="1" xfId="0" applyNumberFormat="1" applyFont="1" applyBorder="1"/>
    <xf numFmtId="41" fontId="13" fillId="0" borderId="1" xfId="0" applyNumberFormat="1" applyFont="1" applyBorder="1"/>
    <xf numFmtId="164" fontId="13" fillId="0" borderId="1" xfId="1" applyFont="1" applyBorder="1"/>
    <xf numFmtId="41" fontId="2" fillId="0" borderId="1" xfId="1" applyNumberFormat="1" applyFont="1" applyBorder="1"/>
    <xf numFmtId="41" fontId="2" fillId="0" borderId="1" xfId="0" applyNumberFormat="1" applyFont="1" applyFill="1" applyBorder="1"/>
    <xf numFmtId="164" fontId="2" fillId="0" borderId="1" xfId="1" applyFont="1" applyBorder="1"/>
    <xf numFmtId="164" fontId="2" fillId="0" borderId="1" xfId="0" applyNumberFormat="1" applyFont="1" applyBorder="1"/>
    <xf numFmtId="164" fontId="39" fillId="0" borderId="0" xfId="0" applyNumberFormat="1" applyFont="1"/>
    <xf numFmtId="0" fontId="40" fillId="11" borderId="1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15" borderId="1" xfId="0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167" fontId="0" fillId="11" borderId="0" xfId="1" applyNumberFormat="1" applyFont="1" applyFill="1" applyAlignment="1">
      <alignment horizontal="left"/>
    </xf>
    <xf numFmtId="41" fontId="0" fillId="12" borderId="1" xfId="0" applyNumberFormat="1" applyFill="1" applyBorder="1"/>
    <xf numFmtId="41" fontId="38" fillId="12" borderId="1" xfId="0" applyNumberFormat="1" applyFont="1" applyFill="1" applyBorder="1"/>
    <xf numFmtId="0" fontId="0" fillId="0" borderId="0" xfId="0" applyAlignment="1">
      <alignment readingOrder="1"/>
    </xf>
    <xf numFmtId="0" fontId="0" fillId="0" borderId="1" xfId="0" applyBorder="1" applyAlignment="1">
      <alignment horizontal="center" vertical="center" readingOrder="1"/>
    </xf>
    <xf numFmtId="0" fontId="0" fillId="0" borderId="1" xfId="0" applyBorder="1" applyAlignment="1">
      <alignment horizontal="center" vertical="center" wrapText="1" readingOrder="1"/>
    </xf>
    <xf numFmtId="0" fontId="0" fillId="0" borderId="1" xfId="0" applyBorder="1" applyAlignment="1">
      <alignment horizontal="center" wrapText="1" readingOrder="1"/>
    </xf>
    <xf numFmtId="4" fontId="0" fillId="0" borderId="1" xfId="0" applyNumberFormat="1" applyBorder="1" applyAlignment="1">
      <alignment horizontal="center"/>
    </xf>
    <xf numFmtId="164" fontId="0" fillId="0" borderId="0" xfId="1" applyFont="1"/>
    <xf numFmtId="164" fontId="9" fillId="0" borderId="1" xfId="1" applyFont="1" applyBorder="1" applyAlignment="1">
      <alignment horizontal="right"/>
    </xf>
    <xf numFmtId="164" fontId="41" fillId="0" borderId="0" xfId="1" applyFont="1" applyBorder="1" applyAlignment="1">
      <alignment horizontal="right"/>
    </xf>
    <xf numFmtId="0" fontId="10" fillId="0" borderId="47" xfId="0" applyFont="1" applyBorder="1"/>
    <xf numFmtId="164" fontId="0" fillId="0" borderId="12" xfId="1" applyFont="1" applyBorder="1"/>
    <xf numFmtId="0" fontId="38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3" fillId="5" borderId="6" xfId="0" applyFont="1" applyFill="1" applyBorder="1" applyAlignment="1">
      <alignment horizontal="center" wrapText="1"/>
    </xf>
    <xf numFmtId="0" fontId="42" fillId="0" borderId="3" xfId="0" applyFont="1" applyBorder="1"/>
    <xf numFmtId="0" fontId="42" fillId="0" borderId="6" xfId="0" applyFont="1" applyBorder="1" applyAlignment="1">
      <alignment horizontal="center"/>
    </xf>
    <xf numFmtId="0" fontId="42" fillId="0" borderId="3" xfId="0" applyFont="1" applyBorder="1" applyAlignment="1">
      <alignment wrapText="1"/>
    </xf>
    <xf numFmtId="0" fontId="43" fillId="5" borderId="3" xfId="0" applyFont="1" applyFill="1" applyBorder="1" applyAlignment="1">
      <alignment horizontal="center"/>
    </xf>
    <xf numFmtId="0" fontId="43" fillId="5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64" fontId="14" fillId="0" borderId="1" xfId="0" applyNumberFormat="1" applyFont="1" applyBorder="1"/>
    <xf numFmtId="164" fontId="1" fillId="0" borderId="1" xfId="1" applyFont="1" applyBorder="1"/>
    <xf numFmtId="0" fontId="0" fillId="0" borderId="1" xfId="0" applyFont="1" applyBorder="1"/>
    <xf numFmtId="41" fontId="0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5" fillId="5" borderId="16" xfId="0" applyFont="1" applyFill="1" applyBorder="1" applyAlignment="1">
      <alignment horizontal="center"/>
    </xf>
    <xf numFmtId="0" fontId="35" fillId="5" borderId="17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12" fillId="0" borderId="1" xfId="0" applyFont="1" applyBorder="1" applyAlignment="1">
      <alignment horizontal="right" vertical="top"/>
    </xf>
    <xf numFmtId="0" fontId="8" fillId="6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15" borderId="16" xfId="0" applyFill="1" applyBorder="1" applyAlignment="1">
      <alignment horizontal="center"/>
    </xf>
    <xf numFmtId="0" fontId="0" fillId="15" borderId="45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14" fillId="15" borderId="11" xfId="0" applyFont="1" applyFill="1" applyBorder="1" applyAlignment="1">
      <alignment horizontal="center" vertical="center"/>
    </xf>
    <xf numFmtId="0" fontId="14" fillId="15" borderId="31" xfId="0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4" fillId="15" borderId="16" xfId="0" applyFont="1" applyFill="1" applyBorder="1" applyAlignment="1">
      <alignment horizontal="center"/>
    </xf>
    <xf numFmtId="0" fontId="14" fillId="15" borderId="45" xfId="0" applyFont="1" applyFill="1" applyBorder="1" applyAlignment="1">
      <alignment horizontal="center"/>
    </xf>
    <xf numFmtId="0" fontId="14" fillId="15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0" xfId="0" applyFont="1"/>
    <xf numFmtId="0" fontId="0" fillId="0" borderId="10" xfId="0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0" borderId="23" xfId="0" applyFont="1" applyBorder="1"/>
    <xf numFmtId="0" fontId="11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46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9" fillId="9" borderId="32" xfId="0" applyNumberFormat="1" applyFont="1" applyFill="1" applyBorder="1" applyAlignment="1">
      <alignment horizontal="center" vertical="center"/>
    </xf>
    <xf numFmtId="0" fontId="19" fillId="9" borderId="38" xfId="0" applyNumberFormat="1" applyFont="1" applyFill="1" applyBorder="1" applyAlignment="1">
      <alignment horizontal="center" vertical="center"/>
    </xf>
    <xf numFmtId="0" fontId="19" fillId="9" borderId="33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4" fontId="19" fillId="9" borderId="34" xfId="0" applyNumberFormat="1" applyFont="1" applyFill="1" applyBorder="1" applyAlignment="1">
      <alignment horizontal="center" vertical="center"/>
    </xf>
    <xf numFmtId="4" fontId="19" fillId="9" borderId="40" xfId="0" applyNumberFormat="1" applyFont="1" applyFill="1" applyBorder="1" applyAlignment="1">
      <alignment horizontal="center" vertical="center"/>
    </xf>
    <xf numFmtId="4" fontId="19" fillId="9" borderId="35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wrapText="1"/>
    </xf>
    <xf numFmtId="166" fontId="19" fillId="9" borderId="36" xfId="1" quotePrefix="1" applyNumberFormat="1" applyFont="1" applyFill="1" applyBorder="1" applyAlignment="1">
      <alignment horizontal="center" vertical="center"/>
    </xf>
    <xf numFmtId="166" fontId="20" fillId="9" borderId="37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4" fillId="0" borderId="0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 wrapText="1"/>
    </xf>
    <xf numFmtId="0" fontId="32" fillId="4" borderId="19" xfId="0" applyFont="1" applyFill="1" applyBorder="1" applyAlignment="1">
      <alignment horizontal="center" wrapText="1"/>
    </xf>
    <xf numFmtId="0" fontId="39" fillId="14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7" fillId="12" borderId="1" xfId="0" applyFont="1" applyFill="1" applyBorder="1" applyAlignment="1">
      <alignment horizontal="center" vertical="center"/>
    </xf>
    <xf numFmtId="0" fontId="37" fillId="12" borderId="11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/>
    </xf>
    <xf numFmtId="0" fontId="0" fillId="12" borderId="45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2" fillId="5" borderId="2" xfId="0" applyFont="1" applyFill="1" applyBorder="1" applyAlignment="1">
      <alignment horizontal="center"/>
    </xf>
    <xf numFmtId="0" fontId="42" fillId="5" borderId="3" xfId="0" applyFont="1" applyFill="1" applyBorder="1" applyAlignment="1">
      <alignment horizontal="center"/>
    </xf>
    <xf numFmtId="0" fontId="43" fillId="5" borderId="2" xfId="0" applyFont="1" applyFill="1" applyBorder="1" applyAlignment="1">
      <alignment horizontal="center" wrapText="1"/>
    </xf>
    <xf numFmtId="0" fontId="43" fillId="5" borderId="3" xfId="0" applyFont="1" applyFill="1" applyBorder="1" applyAlignment="1">
      <alignment horizontal="center" wrapText="1"/>
    </xf>
    <xf numFmtId="0" fontId="43" fillId="5" borderId="7" xfId="0" applyFont="1" applyFill="1" applyBorder="1" applyAlignment="1">
      <alignment horizontal="center" wrapText="1"/>
    </xf>
    <xf numFmtId="0" fontId="43" fillId="5" borderId="4" xfId="0" applyFont="1" applyFill="1" applyBorder="1" applyAlignment="1">
      <alignment horizontal="center" wrapText="1"/>
    </xf>
    <xf numFmtId="0" fontId="6" fillId="0" borderId="46" xfId="0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KULINER!$E$4</c:f>
              <c:strCache>
                <c:ptCount val="1"/>
                <c:pt idx="0">
                  <c:v>Terpakai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KULINER!$E$5:$E$31</c:f>
              <c:numCache>
                <c:formatCode>General</c:formatCode>
                <c:ptCount val="27"/>
                <c:pt idx="0">
                  <c:v>0</c:v>
                </c:pt>
                <c:pt idx="1">
                  <c:v>5</c:v>
                </c:pt>
                <c:pt idx="2">
                  <c:v>26</c:v>
                </c:pt>
                <c:pt idx="3">
                  <c:v>1</c:v>
                </c:pt>
                <c:pt idx="4">
                  <c:v>0</c:v>
                </c:pt>
                <c:pt idx="5">
                  <c:v>16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  <c:pt idx="17">
                  <c:v>2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5</c:v>
                </c:pt>
                <c:pt idx="24">
                  <c:v>16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0-449C-8B9A-9D8F5A4C8D29}"/>
            </c:ext>
          </c:extLst>
        </c:ser>
        <c:ser>
          <c:idx val="1"/>
          <c:order val="1"/>
          <c:tx>
            <c:strRef>
              <c:f>KULINER!$F$4</c:f>
              <c:strCache>
                <c:ptCount val="1"/>
                <c:pt idx="0">
                  <c:v>Tdk Terpakai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KULINER!$F$5:$F$31</c:f>
              <c:numCache>
                <c:formatCode>General</c:formatCode>
                <c:ptCount val="2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10</c:v>
                </c:pt>
                <c:pt idx="14">
                  <c:v>5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0</c:v>
                </c:pt>
                <c:pt idx="20">
                  <c:v>6</c:v>
                </c:pt>
                <c:pt idx="21">
                  <c:v>4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0-449C-8B9A-9D8F5A4C8D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360" verticalDpi="36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Lapak dan PKL Berdasarkan Kecamatan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Sheet2!$A$3:$A$12</c:f>
              <c:strCache>
                <c:ptCount val="10"/>
                <c:pt idx="0">
                  <c:v>Gerung</c:v>
                </c:pt>
                <c:pt idx="1">
                  <c:v>Narmada</c:v>
                </c:pt>
                <c:pt idx="2">
                  <c:v>Gunungsari</c:v>
                </c:pt>
                <c:pt idx="3">
                  <c:v>Kediri</c:v>
                </c:pt>
                <c:pt idx="4">
                  <c:v>Kuripan</c:v>
                </c:pt>
                <c:pt idx="5">
                  <c:v>Labuapi</c:v>
                </c:pt>
                <c:pt idx="6">
                  <c:v>Batulayar</c:v>
                </c:pt>
                <c:pt idx="7">
                  <c:v>Lingsar</c:v>
                </c:pt>
                <c:pt idx="8">
                  <c:v>Lembar</c:v>
                </c:pt>
                <c:pt idx="9">
                  <c:v>Sekotong Tengah</c:v>
                </c:pt>
              </c:strCache>
            </c:strRef>
          </c:cat>
          <c:val>
            <c:numRef>
              <c:f>Sheet2!$B$3:$B$12</c:f>
              <c:numCache>
                <c:formatCode>General</c:formatCode>
                <c:ptCount val="10"/>
                <c:pt idx="0">
                  <c:v>36</c:v>
                </c:pt>
                <c:pt idx="1">
                  <c:v>37</c:v>
                </c:pt>
                <c:pt idx="2">
                  <c:v>6</c:v>
                </c:pt>
                <c:pt idx="3">
                  <c:v>18</c:v>
                </c:pt>
                <c:pt idx="4">
                  <c:v>12</c:v>
                </c:pt>
                <c:pt idx="5">
                  <c:v>30</c:v>
                </c:pt>
                <c:pt idx="6">
                  <c:v>60</c:v>
                </c:pt>
                <c:pt idx="7">
                  <c:v>17</c:v>
                </c:pt>
                <c:pt idx="8">
                  <c:v>23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B-4C77-9843-DDEFD8C25DFB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Sheet2!$A$3:$A$12</c:f>
              <c:strCache>
                <c:ptCount val="10"/>
                <c:pt idx="0">
                  <c:v>Gerung</c:v>
                </c:pt>
                <c:pt idx="1">
                  <c:v>Narmada</c:v>
                </c:pt>
                <c:pt idx="2">
                  <c:v>Gunungsari</c:v>
                </c:pt>
                <c:pt idx="3">
                  <c:v>Kediri</c:v>
                </c:pt>
                <c:pt idx="4">
                  <c:v>Kuripan</c:v>
                </c:pt>
                <c:pt idx="5">
                  <c:v>Labuapi</c:v>
                </c:pt>
                <c:pt idx="6">
                  <c:v>Batulayar</c:v>
                </c:pt>
                <c:pt idx="7">
                  <c:v>Lingsar</c:v>
                </c:pt>
                <c:pt idx="8">
                  <c:v>Lembar</c:v>
                </c:pt>
                <c:pt idx="9">
                  <c:v>Sekotong Tengah</c:v>
                </c:pt>
              </c:strCache>
            </c:strRef>
          </c:cat>
          <c:val>
            <c:numRef>
              <c:f>Sheet2!$C$3:$C$12</c:f>
              <c:numCache>
                <c:formatCode>General</c:formatCode>
                <c:ptCount val="10"/>
                <c:pt idx="0">
                  <c:v>26</c:v>
                </c:pt>
                <c:pt idx="1">
                  <c:v>23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14</c:v>
                </c:pt>
                <c:pt idx="6">
                  <c:v>30</c:v>
                </c:pt>
                <c:pt idx="7">
                  <c:v>5</c:v>
                </c:pt>
                <c:pt idx="8">
                  <c:v>22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B-4C77-9843-DDEFD8C25DFB}"/>
            </c:ext>
          </c:extLst>
        </c:ser>
        <c:ser>
          <c:idx val="2"/>
          <c:order val="2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Sheet2!$A$3:$A$12</c:f>
              <c:strCache>
                <c:ptCount val="10"/>
                <c:pt idx="0">
                  <c:v>Gerung</c:v>
                </c:pt>
                <c:pt idx="1">
                  <c:v>Narmada</c:v>
                </c:pt>
                <c:pt idx="2">
                  <c:v>Gunungsari</c:v>
                </c:pt>
                <c:pt idx="3">
                  <c:v>Kediri</c:v>
                </c:pt>
                <c:pt idx="4">
                  <c:v>Kuripan</c:v>
                </c:pt>
                <c:pt idx="5">
                  <c:v>Labuapi</c:v>
                </c:pt>
                <c:pt idx="6">
                  <c:v>Batulayar</c:v>
                </c:pt>
                <c:pt idx="7">
                  <c:v>Lingsar</c:v>
                </c:pt>
                <c:pt idx="8">
                  <c:v>Lembar</c:v>
                </c:pt>
                <c:pt idx="9">
                  <c:v>Sekotong Tengah</c:v>
                </c:pt>
              </c:strCache>
            </c:strRef>
          </c:cat>
          <c:val>
            <c:numRef>
              <c:f>Sheet2!$D$3:$D$12</c:f>
              <c:numCache>
                <c:formatCode>General</c:formatCode>
                <c:ptCount val="10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13</c:v>
                </c:pt>
                <c:pt idx="4">
                  <c:v>7</c:v>
                </c:pt>
                <c:pt idx="5">
                  <c:v>16</c:v>
                </c:pt>
                <c:pt idx="6">
                  <c:v>30</c:v>
                </c:pt>
                <c:pt idx="7">
                  <c:v>12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B-4C77-9843-DDEFD8C25D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KULINER!$F$4</c:f>
              <c:strCache>
                <c:ptCount val="1"/>
                <c:pt idx="0">
                  <c:v>Tdk Terpakai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KULINER!$F$5:$F$31</c:f>
              <c:numCache>
                <c:formatCode>General</c:formatCode>
                <c:ptCount val="2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10</c:v>
                </c:pt>
                <c:pt idx="14">
                  <c:v>5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0</c:v>
                </c:pt>
                <c:pt idx="20">
                  <c:v>6</c:v>
                </c:pt>
                <c:pt idx="21">
                  <c:v>4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D-4B92-BC35-30A83A54D7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KULINER!$D$3</c:f>
              <c:strCache>
                <c:ptCount val="1"/>
                <c:pt idx="0">
                  <c:v>Jml Lokal   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KULINER!$D$4:$D$31</c:f>
              <c:numCache>
                <c:formatCode>General</c:formatCode>
                <c:ptCount val="28"/>
                <c:pt idx="1">
                  <c:v>5</c:v>
                </c:pt>
                <c:pt idx="2">
                  <c:v>5</c:v>
                </c:pt>
                <c:pt idx="3">
                  <c:v>26</c:v>
                </c:pt>
                <c:pt idx="4">
                  <c:v>9</c:v>
                </c:pt>
                <c:pt idx="5">
                  <c:v>5</c:v>
                </c:pt>
                <c:pt idx="6">
                  <c:v>18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18</c:v>
                </c:pt>
                <c:pt idx="15">
                  <c:v>5</c:v>
                </c:pt>
                <c:pt idx="16">
                  <c:v>5</c:v>
                </c:pt>
                <c:pt idx="17">
                  <c:v>12</c:v>
                </c:pt>
                <c:pt idx="18">
                  <c:v>3</c:v>
                </c:pt>
                <c:pt idx="19">
                  <c:v>5</c:v>
                </c:pt>
                <c:pt idx="20">
                  <c:v>25</c:v>
                </c:pt>
                <c:pt idx="21">
                  <c:v>6</c:v>
                </c:pt>
                <c:pt idx="22">
                  <c:v>4</c:v>
                </c:pt>
                <c:pt idx="23">
                  <c:v>7</c:v>
                </c:pt>
                <c:pt idx="24">
                  <c:v>5</c:v>
                </c:pt>
                <c:pt idx="25">
                  <c:v>18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9-4D29-966D-CBA297B3A8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Formal</a:t>
            </a:r>
            <a:r>
              <a:rPr lang="id-ID"/>
              <a:t> unit usaha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'IKM OLAH'!$B$4</c:f>
              <c:strCache>
                <c:ptCount val="1"/>
                <c:pt idx="0">
                  <c:v>Formal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'IKM OLAH'!$B$5:$B$10</c:f>
              <c:numCache>
                <c:formatCode>_-* #,##0_-;\-* #,##0_-;_-* "-"_-;_-@_-</c:formatCode>
                <c:ptCount val="6"/>
                <c:pt idx="0">
                  <c:v>548</c:v>
                </c:pt>
                <c:pt idx="1">
                  <c:v>540</c:v>
                </c:pt>
                <c:pt idx="2">
                  <c:v>526</c:v>
                </c:pt>
                <c:pt idx="3">
                  <c:v>516</c:v>
                </c:pt>
                <c:pt idx="4">
                  <c:v>506</c:v>
                </c:pt>
                <c:pt idx="5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D-438C-A5B5-CD538F00D052}"/>
            </c:ext>
          </c:extLst>
        </c:ser>
        <c:ser>
          <c:idx val="1"/>
          <c:order val="1"/>
          <c:tx>
            <c:strRef>
              <c:f>'IKM OLAH'!$C$4</c:f>
              <c:strCache>
                <c:ptCount val="1"/>
                <c:pt idx="0">
                  <c:v>Informal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'IKM OLAH'!$C$5:$C$10</c:f>
              <c:numCache>
                <c:formatCode>_-* #,##0_-;\-* #,##0_-;_-* "-"_-;_-@_-</c:formatCode>
                <c:ptCount val="6"/>
                <c:pt idx="0">
                  <c:v>10730</c:v>
                </c:pt>
                <c:pt idx="1">
                  <c:v>10479</c:v>
                </c:pt>
                <c:pt idx="2">
                  <c:v>10098</c:v>
                </c:pt>
                <c:pt idx="3">
                  <c:v>9179</c:v>
                </c:pt>
                <c:pt idx="4">
                  <c:v>9413</c:v>
                </c:pt>
                <c:pt idx="5">
                  <c:v>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D-438C-A5B5-CD538F00D052}"/>
            </c:ext>
          </c:extLst>
        </c:ser>
        <c:ser>
          <c:idx val="2"/>
          <c:order val="2"/>
          <c:tx>
            <c:strRef>
              <c:f>'IKM OLAH'!$D$4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'IKM OLAH'!$D$5:$D$10</c:f>
              <c:numCache>
                <c:formatCode>_-* #,##0_-;\-* #,##0_-;_-* "-"_-;_-@_-</c:formatCode>
                <c:ptCount val="6"/>
                <c:pt idx="0">
                  <c:v>11278</c:v>
                </c:pt>
                <c:pt idx="1">
                  <c:v>11019</c:v>
                </c:pt>
                <c:pt idx="2">
                  <c:v>10624</c:v>
                </c:pt>
                <c:pt idx="3">
                  <c:v>9695</c:v>
                </c:pt>
                <c:pt idx="4">
                  <c:v>9919</c:v>
                </c:pt>
                <c:pt idx="5">
                  <c:v>9830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D-438C-A5B5-CD538F00D0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Formal</a:t>
            </a:r>
            <a:r>
              <a:rPr lang="id-ID"/>
              <a:t> Tenaga kerja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'IKM OLAH'!$B$21</c:f>
              <c:strCache>
                <c:ptCount val="1"/>
                <c:pt idx="0">
                  <c:v>Formal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'IKM OLAH'!$B$23:$B$28</c:f>
              <c:numCache>
                <c:formatCode>_-* #,##0_-;\-* #,##0_-;_-* "-"_-;_-@_-</c:formatCode>
                <c:ptCount val="6"/>
                <c:pt idx="0">
                  <c:v>5119</c:v>
                </c:pt>
                <c:pt idx="1">
                  <c:v>5119</c:v>
                </c:pt>
                <c:pt idx="2">
                  <c:v>5119</c:v>
                </c:pt>
                <c:pt idx="3">
                  <c:v>4969</c:v>
                </c:pt>
                <c:pt idx="4">
                  <c:v>4904</c:v>
                </c:pt>
                <c:pt idx="5">
                  <c:v>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D-44FF-BDE9-79E6A9896E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Informal</a:t>
            </a:r>
            <a:r>
              <a:rPr lang="id-ID"/>
              <a:t> Unit Usaha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'IKM OLAH'!$C$4</c:f>
              <c:strCache>
                <c:ptCount val="1"/>
                <c:pt idx="0">
                  <c:v>Informal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'IKM OLAH'!$C$5:$C$10</c:f>
              <c:numCache>
                <c:formatCode>_-* #,##0_-;\-* #,##0_-;_-* "-"_-;_-@_-</c:formatCode>
                <c:ptCount val="6"/>
                <c:pt idx="0">
                  <c:v>10730</c:v>
                </c:pt>
                <c:pt idx="1">
                  <c:v>10479</c:v>
                </c:pt>
                <c:pt idx="2">
                  <c:v>10098</c:v>
                </c:pt>
                <c:pt idx="3">
                  <c:v>9179</c:v>
                </c:pt>
                <c:pt idx="4">
                  <c:v>9413</c:v>
                </c:pt>
                <c:pt idx="5">
                  <c:v>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0-4692-8DB9-35F06C0E8D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Informal</a:t>
            </a:r>
            <a:r>
              <a:rPr lang="id-ID"/>
              <a:t> Tenaga Kerja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'IKM OLAH'!$C$21</c:f>
              <c:strCache>
                <c:ptCount val="1"/>
                <c:pt idx="0">
                  <c:v>Informal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'IKM OLAH'!$C$23:$C$28</c:f>
              <c:numCache>
                <c:formatCode>_-* #,##0_-;\-* #,##0_-;_-* "-"_-;_-@_-</c:formatCode>
                <c:ptCount val="6"/>
                <c:pt idx="0">
                  <c:v>22389</c:v>
                </c:pt>
                <c:pt idx="1">
                  <c:v>22180</c:v>
                </c:pt>
                <c:pt idx="2">
                  <c:v>20865</c:v>
                </c:pt>
                <c:pt idx="3">
                  <c:v>19550</c:v>
                </c:pt>
                <c:pt idx="4">
                  <c:v>18604</c:v>
                </c:pt>
                <c:pt idx="5">
                  <c:v>18200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0E1-977E-5B0EF1C5D4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id-ID"/>
              <a:t> </a:t>
            </a:r>
            <a:r>
              <a:rPr lang="id-ID" sz="1800" b="1" i="0" baseline="0"/>
              <a:t>Unit Usaha</a:t>
            </a:r>
            <a:endParaRPr lang="en-US" sz="1800" b="1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'IKM OLAH'!$D$4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'IKM OLAH'!$D$5:$D$10</c:f>
              <c:numCache>
                <c:formatCode>_-* #,##0_-;\-* #,##0_-;_-* "-"_-;_-@_-</c:formatCode>
                <c:ptCount val="6"/>
                <c:pt idx="0">
                  <c:v>11278</c:v>
                </c:pt>
                <c:pt idx="1">
                  <c:v>11019</c:v>
                </c:pt>
                <c:pt idx="2">
                  <c:v>10624</c:v>
                </c:pt>
                <c:pt idx="3">
                  <c:v>9695</c:v>
                </c:pt>
                <c:pt idx="4">
                  <c:v>9919</c:v>
                </c:pt>
                <c:pt idx="5">
                  <c:v>9830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EC9-AA3A-AAE758E541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id-ID"/>
              <a:t> Tenaga Kerja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'IKM OLAH'!$D$21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'IKM OLAH'!$D$23:$D$28</c:f>
              <c:numCache>
                <c:formatCode>_-* #,##0_-;\-* #,##0_-;_-* "-"_-;_-@_-</c:formatCode>
                <c:ptCount val="6"/>
                <c:pt idx="0">
                  <c:v>27508</c:v>
                </c:pt>
                <c:pt idx="1">
                  <c:v>27299</c:v>
                </c:pt>
                <c:pt idx="2">
                  <c:v>25984</c:v>
                </c:pt>
                <c:pt idx="3">
                  <c:v>24519</c:v>
                </c:pt>
                <c:pt idx="4">
                  <c:v>23508</c:v>
                </c:pt>
                <c:pt idx="5">
                  <c:v>23026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8-43FF-BD54-4D98E6B30F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51797</xdr:colOff>
      <xdr:row>0</xdr:row>
      <xdr:rowOff>0</xdr:rowOff>
    </xdr:from>
    <xdr:to>
      <xdr:col>17</xdr:col>
      <xdr:colOff>303006</xdr:colOff>
      <xdr:row>28</xdr:row>
      <xdr:rowOff>185712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198874</xdr:colOff>
      <xdr:row>29</xdr:row>
      <xdr:rowOff>157006</xdr:rowOff>
    </xdr:from>
    <xdr:to>
      <xdr:col>17</xdr:col>
      <xdr:colOff>502417</xdr:colOff>
      <xdr:row>57</xdr:row>
      <xdr:rowOff>104670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177940</xdr:colOff>
      <xdr:row>32</xdr:row>
      <xdr:rowOff>104670</xdr:rowOff>
    </xdr:from>
    <xdr:to>
      <xdr:col>6</xdr:col>
      <xdr:colOff>1936401</xdr:colOff>
      <xdr:row>57</xdr:row>
      <xdr:rowOff>157007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139905</xdr:colOff>
      <xdr:row>1</xdr:row>
      <xdr:rowOff>130482</xdr:rowOff>
    </xdr:from>
    <xdr:to>
      <xdr:col>7</xdr:col>
      <xdr:colOff>174113</xdr:colOff>
      <xdr:row>11</xdr:row>
      <xdr:rowOff>133145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368607</xdr:colOff>
      <xdr:row>18</xdr:row>
      <xdr:rowOff>187427</xdr:rowOff>
    </xdr:from>
    <xdr:to>
      <xdr:col>7</xdr:col>
      <xdr:colOff>245806</xdr:colOff>
      <xdr:row>30</xdr:row>
      <xdr:rowOff>153629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416436</xdr:colOff>
      <xdr:row>1</xdr:row>
      <xdr:rowOff>129767</xdr:rowOff>
    </xdr:from>
    <xdr:to>
      <xdr:col>10</xdr:col>
      <xdr:colOff>245807</xdr:colOff>
      <xdr:row>12</xdr:row>
      <xdr:rowOff>30726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477890</xdr:colOff>
      <xdr:row>19</xdr:row>
      <xdr:rowOff>0</xdr:rowOff>
    </xdr:from>
    <xdr:to>
      <xdr:col>10</xdr:col>
      <xdr:colOff>553066</xdr:colOff>
      <xdr:row>30</xdr:row>
      <xdr:rowOff>143388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441940</xdr:colOff>
      <xdr:row>1</xdr:row>
      <xdr:rowOff>133145</xdr:rowOff>
    </xdr:from>
    <xdr:to>
      <xdr:col>13</xdr:col>
      <xdr:colOff>368709</xdr:colOff>
      <xdr:row>12</xdr:row>
      <xdr:rowOff>30726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9628</xdr:colOff>
      <xdr:row>19</xdr:row>
      <xdr:rowOff>10242</xdr:rowOff>
    </xdr:from>
    <xdr:to>
      <xdr:col>13</xdr:col>
      <xdr:colOff>450645</xdr:colOff>
      <xdr:row>30</xdr:row>
      <xdr:rowOff>143388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11</xdr:row>
      <xdr:rowOff>171450</xdr:rowOff>
    </xdr:from>
    <xdr:to>
      <xdr:col>18</xdr:col>
      <xdr:colOff>381000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topLeftCell="A37" zoomScale="136" zoomScaleNormal="132" zoomScaleSheetLayoutView="136" workbookViewId="0">
      <selection activeCell="D54" sqref="D54"/>
    </sheetView>
  </sheetViews>
  <sheetFormatPr defaultRowHeight="15"/>
  <cols>
    <col min="1" max="1" width="5.140625" customWidth="1"/>
    <col min="2" max="2" width="28.28515625" customWidth="1"/>
    <col min="3" max="3" width="6.5703125" customWidth="1"/>
    <col min="4" max="4" width="11.7109375" customWidth="1"/>
    <col min="5" max="5" width="6" customWidth="1"/>
    <col min="6" max="6" width="11.28515625" customWidth="1"/>
    <col min="7" max="7" width="6.7109375" customWidth="1"/>
    <col min="8" max="8" width="10.7109375" customWidth="1"/>
    <col min="9" max="9" width="6.42578125" customWidth="1"/>
    <col min="10" max="10" width="12.140625" customWidth="1"/>
  </cols>
  <sheetData>
    <row r="1" spans="1:10">
      <c r="A1" s="254" t="s">
        <v>386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>
      <c r="A2" s="252" t="s">
        <v>1</v>
      </c>
      <c r="B2" s="253" t="s">
        <v>2</v>
      </c>
      <c r="C2" s="252" t="s">
        <v>385</v>
      </c>
      <c r="D2" s="252"/>
      <c r="E2" s="252"/>
      <c r="F2" s="252"/>
      <c r="G2" s="252"/>
      <c r="H2" s="252"/>
      <c r="I2" s="55"/>
      <c r="J2" s="55"/>
    </row>
    <row r="3" spans="1:10" ht="25.5">
      <c r="A3" s="252"/>
      <c r="B3" s="253"/>
      <c r="C3" s="64">
        <v>2016</v>
      </c>
      <c r="D3" s="65" t="s">
        <v>3</v>
      </c>
      <c r="E3" s="64">
        <v>2017</v>
      </c>
      <c r="F3" s="65" t="s">
        <v>3</v>
      </c>
      <c r="G3" s="64">
        <v>2018</v>
      </c>
      <c r="H3" s="65" t="s">
        <v>3</v>
      </c>
      <c r="I3" s="64">
        <v>2019</v>
      </c>
      <c r="J3" s="65" t="s">
        <v>3</v>
      </c>
    </row>
    <row r="4" spans="1:10">
      <c r="A4" s="56">
        <v>1</v>
      </c>
      <c r="B4" s="57" t="s">
        <v>4</v>
      </c>
      <c r="C4" s="58">
        <v>4</v>
      </c>
      <c r="D4" s="58">
        <v>479</v>
      </c>
      <c r="E4" s="58">
        <v>4</v>
      </c>
      <c r="F4" s="58">
        <v>479</v>
      </c>
      <c r="G4" s="58">
        <v>4</v>
      </c>
      <c r="H4" s="58">
        <v>479</v>
      </c>
      <c r="I4" s="58">
        <v>4</v>
      </c>
      <c r="J4" s="58">
        <v>479</v>
      </c>
    </row>
    <row r="5" spans="1:10" ht="15" customHeight="1">
      <c r="A5" s="59"/>
      <c r="B5" s="60" t="s">
        <v>5</v>
      </c>
      <c r="C5" s="59"/>
      <c r="D5" s="59">
        <v>146</v>
      </c>
      <c r="E5" s="59"/>
      <c r="F5" s="59">
        <v>146</v>
      </c>
      <c r="G5" s="59"/>
      <c r="H5" s="59">
        <v>146</v>
      </c>
      <c r="I5" s="161"/>
      <c r="J5" s="161">
        <v>146</v>
      </c>
    </row>
    <row r="6" spans="1:10">
      <c r="A6" s="59"/>
      <c r="B6" s="60" t="s">
        <v>6</v>
      </c>
      <c r="C6" s="59"/>
      <c r="D6" s="59">
        <v>76</v>
      </c>
      <c r="E6" s="59"/>
      <c r="F6" s="59">
        <v>76</v>
      </c>
      <c r="G6" s="59"/>
      <c r="H6" s="59">
        <v>76</v>
      </c>
      <c r="I6" s="161"/>
      <c r="J6" s="161">
        <v>76</v>
      </c>
    </row>
    <row r="7" spans="1:10">
      <c r="A7" s="59"/>
      <c r="B7" s="60" t="s">
        <v>7</v>
      </c>
      <c r="C7" s="59"/>
      <c r="D7" s="59">
        <v>177</v>
      </c>
      <c r="E7" s="59"/>
      <c r="F7" s="59">
        <v>177</v>
      </c>
      <c r="G7" s="59"/>
      <c r="H7" s="59">
        <v>177</v>
      </c>
      <c r="I7" s="161"/>
      <c r="J7" s="161">
        <v>177</v>
      </c>
    </row>
    <row r="8" spans="1:10">
      <c r="A8" s="59"/>
      <c r="B8" s="60" t="s">
        <v>8</v>
      </c>
      <c r="C8" s="59"/>
      <c r="D8" s="59">
        <v>80</v>
      </c>
      <c r="E8" s="59"/>
      <c r="F8" s="59">
        <v>80</v>
      </c>
      <c r="G8" s="59"/>
      <c r="H8" s="59">
        <v>80</v>
      </c>
      <c r="I8" s="161"/>
      <c r="J8" s="161">
        <v>80</v>
      </c>
    </row>
    <row r="9" spans="1:10">
      <c r="A9" s="56">
        <v>2</v>
      </c>
      <c r="B9" s="57" t="s">
        <v>9</v>
      </c>
      <c r="C9" s="58">
        <v>3</v>
      </c>
      <c r="D9" s="58">
        <v>256</v>
      </c>
      <c r="E9" s="58">
        <v>3</v>
      </c>
      <c r="F9" s="58">
        <v>256</v>
      </c>
      <c r="G9" s="58">
        <v>3</v>
      </c>
      <c r="H9" s="58">
        <v>256</v>
      </c>
      <c r="I9" s="58">
        <v>3</v>
      </c>
      <c r="J9" s="58">
        <v>256</v>
      </c>
    </row>
    <row r="10" spans="1:10" ht="15" customHeight="1">
      <c r="A10" s="59"/>
      <c r="B10" s="60" t="s">
        <v>10</v>
      </c>
      <c r="C10" s="59"/>
      <c r="D10" s="59">
        <v>146</v>
      </c>
      <c r="E10" s="59"/>
      <c r="F10" s="59">
        <v>146</v>
      </c>
      <c r="G10" s="59"/>
      <c r="H10" s="59">
        <v>146</v>
      </c>
      <c r="I10" s="161"/>
      <c r="J10" s="161">
        <v>146</v>
      </c>
    </row>
    <row r="11" spans="1:10">
      <c r="A11" s="59"/>
      <c r="B11" s="60" t="s">
        <v>11</v>
      </c>
      <c r="C11" s="59"/>
      <c r="D11" s="59">
        <v>65</v>
      </c>
      <c r="E11" s="59"/>
      <c r="F11" s="59">
        <v>65</v>
      </c>
      <c r="G11" s="59"/>
      <c r="H11" s="59">
        <v>65</v>
      </c>
      <c r="I11" s="161"/>
      <c r="J11" s="161">
        <v>65</v>
      </c>
    </row>
    <row r="12" spans="1:10">
      <c r="A12" s="59"/>
      <c r="B12" s="60" t="s">
        <v>12</v>
      </c>
      <c r="C12" s="59"/>
      <c r="D12" s="59">
        <v>45</v>
      </c>
      <c r="E12" s="59"/>
      <c r="F12" s="59">
        <v>45</v>
      </c>
      <c r="G12" s="59"/>
      <c r="H12" s="59">
        <v>45</v>
      </c>
      <c r="I12" s="161"/>
      <c r="J12" s="161">
        <v>45</v>
      </c>
    </row>
    <row r="13" spans="1:10">
      <c r="A13" s="56">
        <v>3</v>
      </c>
      <c r="B13" s="57" t="s">
        <v>13</v>
      </c>
      <c r="C13" s="58">
        <v>4</v>
      </c>
      <c r="D13" s="58">
        <v>1142</v>
      </c>
      <c r="E13" s="58">
        <v>4</v>
      </c>
      <c r="F13" s="58">
        <v>1208</v>
      </c>
      <c r="G13" s="58">
        <v>4</v>
      </c>
      <c r="H13" s="58">
        <v>1208</v>
      </c>
      <c r="I13" s="58">
        <v>4</v>
      </c>
      <c r="J13" s="58">
        <v>1208</v>
      </c>
    </row>
    <row r="14" spans="1:10">
      <c r="A14" s="59"/>
      <c r="B14" s="60" t="s">
        <v>14</v>
      </c>
      <c r="C14" s="59"/>
      <c r="D14" s="59">
        <v>975</v>
      </c>
      <c r="E14" s="59"/>
      <c r="F14" s="59">
        <v>975</v>
      </c>
      <c r="G14" s="59"/>
      <c r="H14" s="59">
        <v>975</v>
      </c>
      <c r="I14" s="161"/>
      <c r="J14" s="161">
        <v>975</v>
      </c>
    </row>
    <row r="15" spans="1:10">
      <c r="A15" s="59"/>
      <c r="B15" s="60" t="s">
        <v>15</v>
      </c>
      <c r="C15" s="59"/>
      <c r="D15" s="59">
        <v>25</v>
      </c>
      <c r="E15" s="59"/>
      <c r="F15" s="59">
        <v>25</v>
      </c>
      <c r="G15" s="59"/>
      <c r="H15" s="59">
        <v>25</v>
      </c>
      <c r="I15" s="161"/>
      <c r="J15" s="161">
        <v>25</v>
      </c>
    </row>
    <row r="16" spans="1:10">
      <c r="A16" s="59"/>
      <c r="B16" s="60" t="s">
        <v>16</v>
      </c>
      <c r="C16" s="59"/>
      <c r="D16" s="59">
        <v>66</v>
      </c>
      <c r="E16" s="59"/>
      <c r="F16" s="59">
        <v>132</v>
      </c>
      <c r="G16" s="59"/>
      <c r="H16" s="59">
        <v>132</v>
      </c>
      <c r="I16" s="161"/>
      <c r="J16" s="161">
        <v>132</v>
      </c>
    </row>
    <row r="17" spans="1:10">
      <c r="A17" s="59"/>
      <c r="B17" s="60" t="s">
        <v>17</v>
      </c>
      <c r="C17" s="59"/>
      <c r="D17" s="59">
        <v>76</v>
      </c>
      <c r="E17" s="59"/>
      <c r="F17" s="59">
        <v>76</v>
      </c>
      <c r="G17" s="59"/>
      <c r="H17" s="59">
        <v>76</v>
      </c>
      <c r="I17" s="161"/>
      <c r="J17" s="161">
        <v>76</v>
      </c>
    </row>
    <row r="18" spans="1:10">
      <c r="A18" s="56">
        <v>4</v>
      </c>
      <c r="B18" s="57" t="s">
        <v>18</v>
      </c>
      <c r="C18" s="58">
        <v>3</v>
      </c>
      <c r="D18" s="58">
        <v>445</v>
      </c>
      <c r="E18" s="58">
        <v>3</v>
      </c>
      <c r="F18" s="58">
        <v>445</v>
      </c>
      <c r="G18" s="58">
        <v>3</v>
      </c>
      <c r="H18" s="58">
        <v>445</v>
      </c>
      <c r="I18" s="58">
        <v>3</v>
      </c>
      <c r="J18" s="58">
        <v>445</v>
      </c>
    </row>
    <row r="19" spans="1:10">
      <c r="A19" s="59"/>
      <c r="B19" s="60" t="s">
        <v>19</v>
      </c>
      <c r="C19" s="59"/>
      <c r="D19" s="59">
        <v>199</v>
      </c>
      <c r="E19" s="59"/>
      <c r="F19" s="59">
        <v>199</v>
      </c>
      <c r="G19" s="59"/>
      <c r="H19" s="59">
        <v>199</v>
      </c>
      <c r="I19" s="161"/>
      <c r="J19" s="161">
        <v>199</v>
      </c>
    </row>
    <row r="20" spans="1:10">
      <c r="A20" s="59"/>
      <c r="B20" s="60" t="s">
        <v>20</v>
      </c>
      <c r="C20" s="59"/>
      <c r="D20" s="59">
        <v>134</v>
      </c>
      <c r="E20" s="59"/>
      <c r="F20" s="59">
        <v>134</v>
      </c>
      <c r="G20" s="59"/>
      <c r="H20" s="59">
        <v>134</v>
      </c>
      <c r="I20" s="161"/>
      <c r="J20" s="161">
        <v>134</v>
      </c>
    </row>
    <row r="21" spans="1:10">
      <c r="A21" s="59"/>
      <c r="B21" s="60" t="s">
        <v>21</v>
      </c>
      <c r="C21" s="59"/>
      <c r="D21" s="59">
        <v>112</v>
      </c>
      <c r="E21" s="59"/>
      <c r="F21" s="59">
        <v>112</v>
      </c>
      <c r="G21" s="59"/>
      <c r="H21" s="59">
        <v>112</v>
      </c>
      <c r="I21" s="161"/>
      <c r="J21" s="161">
        <v>112</v>
      </c>
    </row>
    <row r="22" spans="1:10">
      <c r="A22" s="56">
        <v>5</v>
      </c>
      <c r="B22" s="57" t="s">
        <v>22</v>
      </c>
      <c r="C22" s="58">
        <v>3</v>
      </c>
      <c r="D22" s="58">
        <v>629</v>
      </c>
      <c r="E22" s="58">
        <v>3</v>
      </c>
      <c r="F22" s="58">
        <v>629</v>
      </c>
      <c r="G22" s="58">
        <v>4</v>
      </c>
      <c r="H22" s="58">
        <v>629</v>
      </c>
      <c r="I22" s="58">
        <v>4</v>
      </c>
      <c r="J22" s="58">
        <v>629</v>
      </c>
    </row>
    <row r="23" spans="1:10">
      <c r="A23" s="59"/>
      <c r="B23" s="60" t="s">
        <v>23</v>
      </c>
      <c r="C23" s="221"/>
      <c r="D23" s="59">
        <v>395</v>
      </c>
      <c r="E23" s="59"/>
      <c r="F23" s="59">
        <v>395</v>
      </c>
      <c r="G23" s="59"/>
      <c r="H23" s="59">
        <v>395</v>
      </c>
      <c r="I23" s="161"/>
      <c r="J23" s="161">
        <v>395</v>
      </c>
    </row>
    <row r="24" spans="1:10">
      <c r="A24" s="59"/>
      <c r="B24" s="60" t="s">
        <v>24</v>
      </c>
      <c r="C24" s="59"/>
      <c r="D24" s="59">
        <v>155</v>
      </c>
      <c r="E24" s="59"/>
      <c r="F24" s="59">
        <v>155</v>
      </c>
      <c r="G24" s="59"/>
      <c r="H24" s="59">
        <v>155</v>
      </c>
      <c r="I24" s="161"/>
      <c r="J24" s="161">
        <v>155</v>
      </c>
    </row>
    <row r="25" spans="1:10">
      <c r="A25" s="59"/>
      <c r="B25" s="60" t="s">
        <v>293</v>
      </c>
      <c r="C25" s="59"/>
      <c r="D25" s="59"/>
      <c r="E25" s="59"/>
      <c r="F25" s="59"/>
      <c r="G25" s="59"/>
      <c r="H25" s="59">
        <v>70</v>
      </c>
      <c r="I25" s="161"/>
      <c r="J25" s="161">
        <v>70</v>
      </c>
    </row>
    <row r="26" spans="1:10">
      <c r="A26" s="59"/>
      <c r="B26" s="60" t="s">
        <v>25</v>
      </c>
      <c r="C26" s="59"/>
      <c r="D26" s="59">
        <v>79</v>
      </c>
      <c r="E26" s="59"/>
      <c r="F26" s="59">
        <v>79</v>
      </c>
      <c r="G26" s="59"/>
      <c r="H26" s="59">
        <v>79</v>
      </c>
      <c r="I26" s="161"/>
      <c r="J26" s="161">
        <v>79</v>
      </c>
    </row>
    <row r="27" spans="1:10">
      <c r="A27" s="56">
        <v>6</v>
      </c>
      <c r="B27" s="57" t="s">
        <v>26</v>
      </c>
      <c r="C27" s="58">
        <v>2</v>
      </c>
      <c r="D27" s="58">
        <v>200</v>
      </c>
      <c r="E27" s="58">
        <v>3</v>
      </c>
      <c r="F27" s="58">
        <v>250</v>
      </c>
      <c r="G27" s="58">
        <v>3</v>
      </c>
      <c r="H27" s="58">
        <v>250</v>
      </c>
      <c r="I27" s="58">
        <v>3</v>
      </c>
      <c r="J27" s="58">
        <v>250</v>
      </c>
    </row>
    <row r="28" spans="1:10" ht="15" customHeight="1">
      <c r="A28" s="59"/>
      <c r="B28" s="60" t="s">
        <v>27</v>
      </c>
      <c r="C28" s="59"/>
      <c r="D28" s="59">
        <v>135</v>
      </c>
      <c r="E28" s="59"/>
      <c r="F28" s="59">
        <v>135</v>
      </c>
      <c r="G28" s="59"/>
      <c r="H28" s="59">
        <v>135</v>
      </c>
      <c r="I28" s="161"/>
      <c r="J28" s="161">
        <v>135</v>
      </c>
    </row>
    <row r="29" spans="1:10">
      <c r="A29" s="59"/>
      <c r="B29" s="60" t="s">
        <v>294</v>
      </c>
      <c r="C29" s="59"/>
      <c r="D29" s="59">
        <v>65</v>
      </c>
      <c r="E29" s="59"/>
      <c r="F29" s="59">
        <v>65</v>
      </c>
      <c r="G29" s="59"/>
      <c r="H29" s="59">
        <v>65</v>
      </c>
      <c r="I29" s="161"/>
      <c r="J29" s="161">
        <v>65</v>
      </c>
    </row>
    <row r="30" spans="1:10">
      <c r="A30" s="59"/>
      <c r="B30" s="60" t="s">
        <v>28</v>
      </c>
      <c r="C30" s="59"/>
      <c r="D30" s="59"/>
      <c r="E30" s="59"/>
      <c r="F30" s="59">
        <v>50</v>
      </c>
      <c r="G30" s="59"/>
      <c r="H30" s="59">
        <v>50</v>
      </c>
      <c r="I30" s="161"/>
      <c r="J30" s="161">
        <v>50</v>
      </c>
    </row>
    <row r="31" spans="1:10">
      <c r="A31" s="56">
        <v>7</v>
      </c>
      <c r="B31" s="57" t="s">
        <v>29</v>
      </c>
      <c r="C31" s="58">
        <v>4</v>
      </c>
      <c r="D31" s="58">
        <v>1425</v>
      </c>
      <c r="E31" s="58">
        <v>4</v>
      </c>
      <c r="F31" s="58">
        <v>1425</v>
      </c>
      <c r="G31" s="58">
        <v>4</v>
      </c>
      <c r="H31" s="58">
        <v>1425</v>
      </c>
      <c r="I31" s="58">
        <v>4</v>
      </c>
      <c r="J31" s="58">
        <v>1425</v>
      </c>
    </row>
    <row r="32" spans="1:10">
      <c r="A32" s="59"/>
      <c r="B32" s="60" t="s">
        <v>30</v>
      </c>
      <c r="C32" s="59"/>
      <c r="D32" s="59">
        <v>655</v>
      </c>
      <c r="E32" s="59"/>
      <c r="F32" s="59">
        <v>655</v>
      </c>
      <c r="G32" s="59"/>
      <c r="H32" s="59">
        <v>655</v>
      </c>
      <c r="I32" s="161"/>
      <c r="J32" s="161">
        <v>655</v>
      </c>
    </row>
    <row r="33" spans="1:10">
      <c r="A33" s="59"/>
      <c r="B33" s="60" t="s">
        <v>31</v>
      </c>
      <c r="C33" s="59"/>
      <c r="D33" s="59">
        <v>125</v>
      </c>
      <c r="E33" s="59"/>
      <c r="F33" s="59">
        <v>125</v>
      </c>
      <c r="G33" s="59"/>
      <c r="H33" s="59">
        <v>125</v>
      </c>
      <c r="I33" s="161"/>
      <c r="J33" s="161">
        <v>125</v>
      </c>
    </row>
    <row r="34" spans="1:10">
      <c r="A34" s="59"/>
      <c r="B34" s="60" t="s">
        <v>32</v>
      </c>
      <c r="C34" s="59"/>
      <c r="D34" s="59">
        <v>588</v>
      </c>
      <c r="E34" s="59"/>
      <c r="F34" s="59">
        <v>588</v>
      </c>
      <c r="G34" s="59"/>
      <c r="H34" s="59">
        <v>588</v>
      </c>
      <c r="I34" s="161"/>
      <c r="J34" s="161">
        <v>588</v>
      </c>
    </row>
    <row r="35" spans="1:10">
      <c r="A35" s="59"/>
      <c r="B35" s="60" t="s">
        <v>33</v>
      </c>
      <c r="C35" s="59"/>
      <c r="D35" s="59">
        <v>57</v>
      </c>
      <c r="E35" s="59"/>
      <c r="F35" s="59">
        <v>57</v>
      </c>
      <c r="G35" s="59"/>
      <c r="H35" s="59">
        <v>57</v>
      </c>
      <c r="I35" s="161"/>
      <c r="J35" s="161">
        <v>57</v>
      </c>
    </row>
    <row r="36" spans="1:10">
      <c r="A36" s="56">
        <v>8</v>
      </c>
      <c r="B36" s="57" t="s">
        <v>34</v>
      </c>
      <c r="C36" s="58">
        <v>2</v>
      </c>
      <c r="D36" s="58">
        <v>107</v>
      </c>
      <c r="E36" s="58">
        <v>3</v>
      </c>
      <c r="F36" s="58">
        <v>152</v>
      </c>
      <c r="G36" s="58">
        <v>3</v>
      </c>
      <c r="H36" s="58">
        <v>152</v>
      </c>
      <c r="I36" s="58">
        <v>3</v>
      </c>
      <c r="J36" s="58">
        <v>152</v>
      </c>
    </row>
    <row r="37" spans="1:10" ht="15" customHeight="1">
      <c r="A37" s="59"/>
      <c r="B37" s="60" t="s">
        <v>35</v>
      </c>
      <c r="C37" s="59"/>
      <c r="D37" s="59">
        <v>62</v>
      </c>
      <c r="E37" s="59"/>
      <c r="F37" s="59">
        <v>62</v>
      </c>
      <c r="G37" s="59"/>
      <c r="H37" s="59">
        <v>62</v>
      </c>
      <c r="I37" s="161"/>
      <c r="J37" s="161">
        <v>62</v>
      </c>
    </row>
    <row r="38" spans="1:10">
      <c r="A38" s="59"/>
      <c r="B38" s="60" t="s">
        <v>37</v>
      </c>
      <c r="C38" s="59"/>
      <c r="D38" s="59">
        <v>45</v>
      </c>
      <c r="E38" s="59"/>
      <c r="F38" s="59">
        <v>45</v>
      </c>
      <c r="G38" s="59"/>
      <c r="H38" s="59">
        <v>45</v>
      </c>
      <c r="I38" s="161"/>
      <c r="J38" s="161">
        <v>45</v>
      </c>
    </row>
    <row r="39" spans="1:10">
      <c r="A39" s="59"/>
      <c r="B39" s="60" t="s">
        <v>36</v>
      </c>
      <c r="C39" s="59"/>
      <c r="D39" s="59"/>
      <c r="E39" s="59"/>
      <c r="F39" s="59">
        <v>45</v>
      </c>
      <c r="G39" s="59"/>
      <c r="H39" s="59">
        <v>45</v>
      </c>
      <c r="I39" s="161"/>
      <c r="J39" s="161">
        <v>45</v>
      </c>
    </row>
    <row r="40" spans="1:10">
      <c r="A40" s="56">
        <v>9</v>
      </c>
      <c r="B40" s="57" t="s">
        <v>38</v>
      </c>
      <c r="C40" s="58">
        <v>4</v>
      </c>
      <c r="D40" s="58">
        <v>767</v>
      </c>
      <c r="E40" s="58">
        <v>5</v>
      </c>
      <c r="F40" s="58">
        <v>777</v>
      </c>
      <c r="G40" s="58">
        <v>5</v>
      </c>
      <c r="H40" s="58">
        <v>777</v>
      </c>
      <c r="I40" s="58">
        <v>5</v>
      </c>
      <c r="J40" s="58">
        <v>777</v>
      </c>
    </row>
    <row r="41" spans="1:10">
      <c r="A41" s="59"/>
      <c r="B41" s="60" t="s">
        <v>39</v>
      </c>
      <c r="C41" s="59"/>
      <c r="D41" s="59">
        <v>587</v>
      </c>
      <c r="E41" s="59"/>
      <c r="F41" s="59">
        <v>587</v>
      </c>
      <c r="G41" s="59"/>
      <c r="H41" s="59">
        <v>587</v>
      </c>
      <c r="I41" s="161"/>
      <c r="J41" s="161">
        <v>587</v>
      </c>
    </row>
    <row r="42" spans="1:10">
      <c r="A42" s="59"/>
      <c r="B42" s="60" t="s">
        <v>40</v>
      </c>
      <c r="C42" s="59"/>
      <c r="D42" s="59">
        <v>99</v>
      </c>
      <c r="E42" s="59"/>
      <c r="F42" s="59">
        <v>99</v>
      </c>
      <c r="G42" s="59"/>
      <c r="H42" s="59">
        <v>99</v>
      </c>
      <c r="I42" s="161"/>
      <c r="J42" s="161">
        <v>99</v>
      </c>
    </row>
    <row r="43" spans="1:10">
      <c r="A43" s="59"/>
      <c r="B43" s="60" t="s">
        <v>41</v>
      </c>
      <c r="C43" s="59"/>
      <c r="D43" s="59">
        <v>27</v>
      </c>
      <c r="E43" s="59"/>
      <c r="F43" s="59">
        <v>27</v>
      </c>
      <c r="G43" s="59"/>
      <c r="H43" s="59">
        <v>27</v>
      </c>
      <c r="I43" s="161"/>
      <c r="J43" s="161">
        <v>27</v>
      </c>
    </row>
    <row r="44" spans="1:10">
      <c r="A44" s="59"/>
      <c r="B44" s="60" t="s">
        <v>42</v>
      </c>
      <c r="C44" s="59"/>
      <c r="D44" s="59">
        <v>54</v>
      </c>
      <c r="E44" s="59"/>
      <c r="F44" s="59">
        <v>54</v>
      </c>
      <c r="G44" s="59"/>
      <c r="H44" s="59">
        <v>54</v>
      </c>
      <c r="I44" s="161"/>
      <c r="J44" s="161">
        <v>54</v>
      </c>
    </row>
    <row r="45" spans="1:10">
      <c r="A45" s="59"/>
      <c r="B45" s="60" t="s">
        <v>43</v>
      </c>
      <c r="C45" s="59"/>
      <c r="D45" s="59"/>
      <c r="E45" s="59"/>
      <c r="F45" s="59">
        <v>10</v>
      </c>
      <c r="G45" s="59"/>
      <c r="H45" s="59">
        <v>10</v>
      </c>
      <c r="I45" s="161"/>
      <c r="J45" s="161">
        <v>10</v>
      </c>
    </row>
    <row r="46" spans="1:10">
      <c r="A46" s="56">
        <v>10</v>
      </c>
      <c r="B46" s="57" t="s">
        <v>44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</row>
    <row r="47" spans="1:10">
      <c r="A47" s="61"/>
      <c r="B47" s="62" t="s">
        <v>45</v>
      </c>
      <c r="C47" s="63">
        <v>29</v>
      </c>
      <c r="D47" s="63">
        <v>5450</v>
      </c>
      <c r="E47" s="55">
        <v>32</v>
      </c>
      <c r="F47" s="63">
        <v>5621</v>
      </c>
      <c r="G47" s="55">
        <v>33</v>
      </c>
      <c r="H47" s="63">
        <v>5691</v>
      </c>
      <c r="I47" s="162">
        <v>33</v>
      </c>
      <c r="J47" s="63">
        <v>5691</v>
      </c>
    </row>
    <row r="49" spans="2:2">
      <c r="B49" s="371" t="s">
        <v>464</v>
      </c>
    </row>
  </sheetData>
  <mergeCells count="4">
    <mergeCell ref="A2:A3"/>
    <mergeCell ref="B2:B3"/>
    <mergeCell ref="C2:H2"/>
    <mergeCell ref="A1:J1"/>
  </mergeCells>
  <pageMargins left="0.5" right="0.28000000000000003" top="0.53" bottom="0.49" header="0.31496062992125984" footer="0.31496062992125984"/>
  <pageSetup paperSize="9" scale="90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6"/>
  <sheetViews>
    <sheetView view="pageBreakPreview" topLeftCell="A46" zoomScaleSheetLayoutView="100" workbookViewId="0">
      <selection activeCell="H66" sqref="H66"/>
    </sheetView>
  </sheetViews>
  <sheetFormatPr defaultRowHeight="15"/>
  <cols>
    <col min="1" max="1" width="5.85546875" customWidth="1"/>
    <col min="2" max="2" width="32.140625" customWidth="1"/>
    <col min="3" max="8" width="15.28515625" customWidth="1"/>
    <col min="9" max="9" width="10.5703125" bestFit="1" customWidth="1"/>
  </cols>
  <sheetData>
    <row r="1" spans="1:9" ht="23.25">
      <c r="B1" s="115"/>
      <c r="C1" s="115" t="s">
        <v>334</v>
      </c>
      <c r="D1" s="115"/>
      <c r="E1" s="115"/>
      <c r="F1" s="115"/>
      <c r="G1" s="115"/>
    </row>
    <row r="2" spans="1:9" ht="23.25">
      <c r="B2" s="127" t="s">
        <v>354</v>
      </c>
      <c r="C2" s="115"/>
      <c r="D2" s="115"/>
      <c r="E2" s="115"/>
      <c r="F2" s="115"/>
      <c r="G2" s="115"/>
    </row>
    <row r="3" spans="1:9" ht="18.75">
      <c r="A3" s="116" t="s">
        <v>335</v>
      </c>
      <c r="B3" s="116"/>
      <c r="C3" s="116"/>
      <c r="D3" s="116"/>
      <c r="E3" s="116"/>
      <c r="F3" s="116"/>
      <c r="G3" s="116" t="s">
        <v>336</v>
      </c>
    </row>
    <row r="4" spans="1:9" ht="21">
      <c r="A4" s="343" t="s">
        <v>244</v>
      </c>
      <c r="B4" s="343" t="s">
        <v>337</v>
      </c>
      <c r="C4" s="344" t="s">
        <v>338</v>
      </c>
      <c r="D4" s="344"/>
      <c r="E4" s="344"/>
      <c r="F4" s="344"/>
      <c r="G4" s="344"/>
      <c r="H4" s="344"/>
    </row>
    <row r="5" spans="1:9" ht="21">
      <c r="A5" s="343"/>
      <c r="B5" s="343"/>
      <c r="C5" s="122">
        <v>2014</v>
      </c>
      <c r="D5" s="122">
        <v>2015</v>
      </c>
      <c r="E5" s="122">
        <v>2016</v>
      </c>
      <c r="F5" s="122">
        <v>2017</v>
      </c>
      <c r="G5" s="122">
        <v>2018</v>
      </c>
      <c r="H5" s="121">
        <v>2019</v>
      </c>
    </row>
    <row r="6" spans="1:9">
      <c r="A6" s="119">
        <v>1</v>
      </c>
      <c r="B6" s="119">
        <v>2</v>
      </c>
      <c r="C6" s="119">
        <v>3</v>
      </c>
      <c r="D6" s="119">
        <v>4</v>
      </c>
      <c r="E6" s="119">
        <v>5</v>
      </c>
      <c r="F6" s="119">
        <v>6</v>
      </c>
      <c r="G6" s="119">
        <v>7</v>
      </c>
      <c r="H6" s="119">
        <v>8</v>
      </c>
    </row>
    <row r="7" spans="1:9">
      <c r="A7" s="341">
        <v>1</v>
      </c>
      <c r="B7" s="123" t="s">
        <v>339</v>
      </c>
      <c r="C7" s="123"/>
      <c r="D7" s="123"/>
      <c r="E7" s="123"/>
      <c r="F7" s="123"/>
      <c r="G7" s="123"/>
      <c r="H7" s="1"/>
    </row>
    <row r="8" spans="1:9">
      <c r="A8" s="341"/>
      <c r="B8" s="123" t="s">
        <v>340</v>
      </c>
      <c r="C8" s="125">
        <v>144</v>
      </c>
      <c r="D8" s="125">
        <v>144</v>
      </c>
      <c r="E8" s="125">
        <v>146</v>
      </c>
      <c r="F8" s="125">
        <v>151</v>
      </c>
      <c r="G8" s="125">
        <v>153</v>
      </c>
      <c r="H8" s="124">
        <f>G8+41</f>
        <v>194</v>
      </c>
      <c r="I8" s="135"/>
    </row>
    <row r="9" spans="1:9">
      <c r="A9" s="341"/>
      <c r="B9" s="123" t="s">
        <v>341</v>
      </c>
      <c r="C9" s="125">
        <v>1424</v>
      </c>
      <c r="D9" s="125">
        <v>1424</v>
      </c>
      <c r="E9" s="125">
        <v>1439</v>
      </c>
      <c r="F9" s="125">
        <v>1479</v>
      </c>
      <c r="G9" s="125">
        <v>1494</v>
      </c>
      <c r="H9" s="124">
        <f>G9+247</f>
        <v>1741</v>
      </c>
      <c r="I9" s="135"/>
    </row>
    <row r="10" spans="1:9">
      <c r="A10" s="341"/>
      <c r="B10" s="123" t="s">
        <v>342</v>
      </c>
      <c r="C10" s="125">
        <v>1464709</v>
      </c>
      <c r="D10" s="125">
        <v>1462709</v>
      </c>
      <c r="E10" s="125">
        <v>1483024</v>
      </c>
      <c r="F10" s="125">
        <v>1547144</v>
      </c>
      <c r="G10" s="125">
        <v>1609154</v>
      </c>
      <c r="H10" s="128">
        <f>G10+10800</f>
        <v>1619954</v>
      </c>
      <c r="I10" s="144"/>
    </row>
    <row r="11" spans="1:9">
      <c r="A11" s="341"/>
      <c r="B11" s="123" t="s">
        <v>343</v>
      </c>
      <c r="C11" s="125">
        <v>73135469</v>
      </c>
      <c r="D11" s="125">
        <v>73135469</v>
      </c>
      <c r="E11" s="125">
        <v>74151240</v>
      </c>
      <c r="F11" s="125">
        <v>77357240</v>
      </c>
      <c r="G11" s="125">
        <v>80925240</v>
      </c>
      <c r="H11" s="248">
        <f>G11+432000</f>
        <v>81357240</v>
      </c>
    </row>
    <row r="12" spans="1:9">
      <c r="A12" s="341">
        <v>2</v>
      </c>
      <c r="B12" s="123" t="s">
        <v>344</v>
      </c>
      <c r="C12" s="125"/>
      <c r="D12" s="125"/>
      <c r="E12" s="125"/>
      <c r="F12" s="125"/>
      <c r="G12" s="125"/>
      <c r="H12" s="123"/>
    </row>
    <row r="13" spans="1:9">
      <c r="A13" s="341"/>
      <c r="B13" s="123" t="s">
        <v>340</v>
      </c>
      <c r="C13" s="125">
        <v>218</v>
      </c>
      <c r="D13" s="125">
        <v>222</v>
      </c>
      <c r="E13" s="125">
        <v>223</v>
      </c>
      <c r="F13" s="125">
        <v>225</v>
      </c>
      <c r="G13" s="125">
        <v>228</v>
      </c>
      <c r="H13" s="123">
        <v>231</v>
      </c>
    </row>
    <row r="14" spans="1:9">
      <c r="A14" s="341"/>
      <c r="B14" s="123" t="s">
        <v>341</v>
      </c>
      <c r="C14" s="125">
        <v>2166</v>
      </c>
      <c r="D14" s="125">
        <v>2218</v>
      </c>
      <c r="E14" s="125">
        <v>2233</v>
      </c>
      <c r="F14" s="125">
        <v>2245</v>
      </c>
      <c r="G14" s="125">
        <v>2268</v>
      </c>
      <c r="H14" s="124">
        <f>G14+6</f>
        <v>2274</v>
      </c>
    </row>
    <row r="15" spans="1:9">
      <c r="A15" s="341"/>
      <c r="B15" s="123" t="s">
        <v>345</v>
      </c>
      <c r="C15" s="125">
        <v>439700</v>
      </c>
      <c r="D15" s="125">
        <v>467100</v>
      </c>
      <c r="E15" s="125">
        <v>469260</v>
      </c>
      <c r="F15" s="125">
        <v>471808</v>
      </c>
      <c r="G15" s="125">
        <v>474004</v>
      </c>
      <c r="H15" s="124">
        <v>474100</v>
      </c>
      <c r="I15" s="135"/>
    </row>
    <row r="16" spans="1:9">
      <c r="A16" s="341"/>
      <c r="B16" s="123" t="s">
        <v>343</v>
      </c>
      <c r="C16" s="125">
        <v>109925060</v>
      </c>
      <c r="D16" s="125">
        <v>116775060</v>
      </c>
      <c r="E16" s="125">
        <v>117315060</v>
      </c>
      <c r="F16" s="125">
        <v>117952060</v>
      </c>
      <c r="G16" s="125">
        <v>120314060</v>
      </c>
      <c r="H16" s="124">
        <f>H15*I16</f>
        <v>120338427.1989266</v>
      </c>
      <c r="I16">
        <f>G16/G15</f>
        <v>253.82498881865976</v>
      </c>
    </row>
    <row r="17" spans="1:9">
      <c r="A17" s="341">
        <v>3</v>
      </c>
      <c r="B17" s="123" t="s">
        <v>346</v>
      </c>
      <c r="C17" s="125"/>
      <c r="D17" s="125"/>
      <c r="E17" s="125"/>
      <c r="F17" s="125"/>
      <c r="G17" s="125"/>
      <c r="H17" s="123"/>
    </row>
    <row r="18" spans="1:9">
      <c r="A18" s="341"/>
      <c r="B18" s="123" t="s">
        <v>340</v>
      </c>
      <c r="C18" s="125">
        <v>37</v>
      </c>
      <c r="D18" s="125">
        <v>37</v>
      </c>
      <c r="E18" s="125">
        <v>38</v>
      </c>
      <c r="F18" s="125">
        <v>41</v>
      </c>
      <c r="G18" s="125">
        <v>44</v>
      </c>
      <c r="H18" s="123">
        <v>47</v>
      </c>
    </row>
    <row r="19" spans="1:9">
      <c r="A19" s="341"/>
      <c r="B19" s="123" t="s">
        <v>341</v>
      </c>
      <c r="C19" s="125">
        <v>393</v>
      </c>
      <c r="D19" s="125">
        <v>393</v>
      </c>
      <c r="E19" s="125">
        <v>404</v>
      </c>
      <c r="F19" s="125">
        <v>425</v>
      </c>
      <c r="G19" s="125">
        <v>495</v>
      </c>
      <c r="H19" s="124">
        <f>G19+94</f>
        <v>589</v>
      </c>
    </row>
    <row r="20" spans="1:9">
      <c r="A20" s="341"/>
      <c r="B20" s="123" t="s">
        <v>345</v>
      </c>
      <c r="C20" s="125">
        <v>648530</v>
      </c>
      <c r="D20" s="125">
        <v>648530</v>
      </c>
      <c r="E20" s="125">
        <v>793040</v>
      </c>
      <c r="F20" s="125">
        <v>868040</v>
      </c>
      <c r="G20" s="125">
        <v>1168040</v>
      </c>
      <c r="H20" s="124">
        <f>G20+I20</f>
        <v>1468040</v>
      </c>
      <c r="I20" s="135">
        <f>G20-F20</f>
        <v>300000</v>
      </c>
    </row>
    <row r="21" spans="1:9">
      <c r="A21" s="341"/>
      <c r="B21" s="123" t="s">
        <v>343</v>
      </c>
      <c r="C21" s="125">
        <v>16213271</v>
      </c>
      <c r="D21" s="125">
        <v>16213271</v>
      </c>
      <c r="E21" s="125">
        <v>19826000</v>
      </c>
      <c r="F21" s="125">
        <v>21701000</v>
      </c>
      <c r="G21" s="125">
        <v>147036000</v>
      </c>
      <c r="H21" s="124">
        <f>G21+I21</f>
        <v>147036125.88267526</v>
      </c>
      <c r="I21">
        <f>G21/G20</f>
        <v>125.88267525084757</v>
      </c>
    </row>
    <row r="23" spans="1:9" ht="26.25">
      <c r="A23" s="117"/>
      <c r="B23" s="118"/>
      <c r="C23" s="118" t="s">
        <v>334</v>
      </c>
      <c r="D23" s="118"/>
      <c r="E23" s="118"/>
      <c r="F23" s="118"/>
      <c r="G23" s="118"/>
      <c r="H23" s="135">
        <f>H9+H14+H19</f>
        <v>4604</v>
      </c>
    </row>
    <row r="24" spans="1:9" ht="26.25">
      <c r="A24" s="117"/>
      <c r="B24" s="126" t="s">
        <v>354</v>
      </c>
      <c r="C24" s="118"/>
      <c r="D24" s="118"/>
      <c r="E24" s="118"/>
      <c r="F24" s="118"/>
      <c r="G24" s="118"/>
    </row>
    <row r="25" spans="1:9" ht="18.75">
      <c r="A25" s="342" t="s">
        <v>347</v>
      </c>
      <c r="B25" s="342"/>
      <c r="C25" s="342"/>
      <c r="D25" s="342"/>
      <c r="E25" s="342"/>
      <c r="F25" s="342"/>
      <c r="G25" s="116"/>
    </row>
    <row r="26" spans="1:9" ht="21">
      <c r="A26" s="343" t="s">
        <v>244</v>
      </c>
      <c r="B26" s="343" t="s">
        <v>348</v>
      </c>
      <c r="C26" s="344" t="s">
        <v>349</v>
      </c>
      <c r="D26" s="344"/>
      <c r="E26" s="344"/>
      <c r="F26" s="344"/>
      <c r="G26" s="344"/>
      <c r="H26" s="344"/>
    </row>
    <row r="27" spans="1:9" ht="21">
      <c r="A27" s="343"/>
      <c r="B27" s="343"/>
      <c r="C27" s="122">
        <v>2014</v>
      </c>
      <c r="D27" s="122">
        <v>2015</v>
      </c>
      <c r="E27" s="122">
        <v>2016</v>
      </c>
      <c r="F27" s="122">
        <v>2017</v>
      </c>
      <c r="G27" s="122">
        <v>2018</v>
      </c>
      <c r="H27" s="121">
        <v>2019</v>
      </c>
    </row>
    <row r="28" spans="1:9">
      <c r="A28" s="119">
        <v>1</v>
      </c>
      <c r="B28" s="119">
        <v>2</v>
      </c>
      <c r="C28" s="119">
        <v>3</v>
      </c>
      <c r="D28" s="119">
        <v>4</v>
      </c>
      <c r="E28" s="119">
        <v>5</v>
      </c>
      <c r="F28" s="119">
        <v>6</v>
      </c>
      <c r="G28" s="119">
        <v>7</v>
      </c>
      <c r="H28" s="119">
        <v>8</v>
      </c>
    </row>
    <row r="29" spans="1:9">
      <c r="A29" s="341">
        <v>1</v>
      </c>
      <c r="B29" s="123" t="s">
        <v>339</v>
      </c>
      <c r="C29" s="123"/>
      <c r="D29" s="123"/>
      <c r="E29" s="123"/>
      <c r="F29" s="123"/>
      <c r="G29" s="123"/>
      <c r="H29" s="1"/>
    </row>
    <row r="30" spans="1:9">
      <c r="A30" s="341"/>
      <c r="B30" s="123" t="s">
        <v>350</v>
      </c>
      <c r="C30" s="125">
        <v>2821</v>
      </c>
      <c r="D30" s="125">
        <v>3110</v>
      </c>
      <c r="E30" s="125">
        <v>3292</v>
      </c>
      <c r="F30" s="125">
        <v>3407</v>
      </c>
      <c r="G30" s="125">
        <f>3508-30</f>
        <v>3478</v>
      </c>
      <c r="H30" s="249">
        <f>G30+47-31</f>
        <v>3494</v>
      </c>
    </row>
    <row r="31" spans="1:9">
      <c r="A31" s="341"/>
      <c r="B31" s="123" t="s">
        <v>341</v>
      </c>
      <c r="C31" s="125">
        <v>5547</v>
      </c>
      <c r="D31" s="125">
        <v>6178</v>
      </c>
      <c r="E31" s="125">
        <v>6570</v>
      </c>
      <c r="F31" s="125">
        <v>7300</v>
      </c>
      <c r="G31" s="125">
        <v>7749</v>
      </c>
      <c r="H31" s="249">
        <f>G31+228</f>
        <v>7977</v>
      </c>
    </row>
    <row r="32" spans="1:9">
      <c r="A32" s="341"/>
      <c r="B32" s="123" t="s">
        <v>342</v>
      </c>
      <c r="C32" s="125">
        <v>1569000</v>
      </c>
      <c r="D32" s="125">
        <v>1728000</v>
      </c>
      <c r="E32" s="125">
        <v>1830000</v>
      </c>
      <c r="F32" s="125">
        <v>1914000</v>
      </c>
      <c r="G32" s="125">
        <v>2254000</v>
      </c>
      <c r="H32" s="249">
        <f>G32+7200</f>
        <v>2261200</v>
      </c>
    </row>
    <row r="33" spans="1:9">
      <c r="A33" s="341"/>
      <c r="B33" s="123" t="s">
        <v>351</v>
      </c>
      <c r="C33" s="125">
        <v>94119539</v>
      </c>
      <c r="D33" s="125">
        <v>103761704</v>
      </c>
      <c r="E33" s="125">
        <v>109833933</v>
      </c>
      <c r="F33" s="125">
        <v>114849242</v>
      </c>
      <c r="G33" s="125">
        <v>131896492</v>
      </c>
      <c r="H33" s="249">
        <f>G33+288000</f>
        <v>132184492</v>
      </c>
    </row>
    <row r="34" spans="1:9">
      <c r="A34" s="341">
        <v>2</v>
      </c>
      <c r="B34" s="123" t="s">
        <v>344</v>
      </c>
      <c r="C34" s="125"/>
      <c r="D34" s="125"/>
      <c r="E34" s="125"/>
      <c r="F34" s="125"/>
      <c r="G34" s="125"/>
      <c r="H34" s="250"/>
    </row>
    <row r="35" spans="1:9">
      <c r="A35" s="341"/>
      <c r="B35" s="123" t="s">
        <v>350</v>
      </c>
      <c r="C35" s="125">
        <v>2130</v>
      </c>
      <c r="D35" s="125">
        <v>2192</v>
      </c>
      <c r="E35" s="125">
        <v>2212</v>
      </c>
      <c r="F35" s="125">
        <v>2262</v>
      </c>
      <c r="G35" s="125">
        <f>2301-34</f>
        <v>2267</v>
      </c>
      <c r="H35" s="251">
        <f>G35+21</f>
        <v>2288</v>
      </c>
    </row>
    <row r="36" spans="1:9">
      <c r="A36" s="341"/>
      <c r="B36" s="123" t="s">
        <v>341</v>
      </c>
      <c r="C36" s="125">
        <v>4149</v>
      </c>
      <c r="D36" s="125">
        <v>4279</v>
      </c>
      <c r="E36" s="125">
        <v>4317</v>
      </c>
      <c r="F36" s="125">
        <v>4643</v>
      </c>
      <c r="G36" s="125">
        <v>4797</v>
      </c>
      <c r="H36" s="251">
        <f>G36+88</f>
        <v>4885</v>
      </c>
    </row>
    <row r="37" spans="1:9">
      <c r="A37" s="341"/>
      <c r="B37" s="123" t="s">
        <v>345</v>
      </c>
      <c r="C37" s="125">
        <v>279300</v>
      </c>
      <c r="D37" s="125">
        <v>287384</v>
      </c>
      <c r="E37" s="125">
        <v>290500</v>
      </c>
      <c r="F37" s="125">
        <v>296930</v>
      </c>
      <c r="G37" s="125">
        <v>312638</v>
      </c>
      <c r="H37" s="251">
        <f>G37+I37</f>
        <v>328346</v>
      </c>
      <c r="I37" s="135">
        <f>G37-F37</f>
        <v>15708</v>
      </c>
    </row>
    <row r="38" spans="1:9">
      <c r="A38" s="341"/>
      <c r="B38" s="123" t="s">
        <v>351</v>
      </c>
      <c r="C38" s="125">
        <v>69813906</v>
      </c>
      <c r="D38" s="125">
        <v>71846048</v>
      </c>
      <c r="E38" s="125">
        <v>72501578</v>
      </c>
      <c r="F38" s="125">
        <v>74232682</v>
      </c>
      <c r="G38" s="125">
        <v>82086682</v>
      </c>
      <c r="H38" s="249">
        <f>H37*I38</f>
        <v>86210997.02522406</v>
      </c>
      <c r="I38">
        <f>G38/G37</f>
        <v>262.56143527018469</v>
      </c>
    </row>
    <row r="39" spans="1:9">
      <c r="A39" s="341">
        <v>3</v>
      </c>
      <c r="B39" s="123" t="s">
        <v>352</v>
      </c>
      <c r="C39" s="125"/>
      <c r="D39" s="125"/>
      <c r="E39" s="125"/>
      <c r="F39" s="125"/>
      <c r="G39" s="125"/>
      <c r="H39" s="250"/>
    </row>
    <row r="40" spans="1:9">
      <c r="A40" s="341"/>
      <c r="B40" s="123" t="s">
        <v>350</v>
      </c>
      <c r="C40" s="125">
        <v>3736</v>
      </c>
      <c r="D40" s="125">
        <v>3799</v>
      </c>
      <c r="E40" s="125">
        <v>3824</v>
      </c>
      <c r="F40" s="125">
        <v>3939</v>
      </c>
      <c r="G40" s="125">
        <v>3960</v>
      </c>
      <c r="H40" s="251">
        <f>G40+33</f>
        <v>3993</v>
      </c>
    </row>
    <row r="41" spans="1:9">
      <c r="A41" s="341"/>
      <c r="B41" s="123" t="s">
        <v>341</v>
      </c>
      <c r="C41" s="125">
        <v>7364</v>
      </c>
      <c r="D41" s="125">
        <v>7505</v>
      </c>
      <c r="E41" s="125">
        <v>7565</v>
      </c>
      <c r="F41" s="125">
        <v>8299</v>
      </c>
      <c r="G41" s="125">
        <v>8359</v>
      </c>
      <c r="H41" s="251">
        <f>G41+32</f>
        <v>8391</v>
      </c>
    </row>
    <row r="42" spans="1:9">
      <c r="A42" s="341"/>
      <c r="B42" s="123" t="s">
        <v>345</v>
      </c>
      <c r="C42" s="125">
        <v>11946000</v>
      </c>
      <c r="D42" s="125">
        <v>12286400</v>
      </c>
      <c r="E42" s="125">
        <v>12670500</v>
      </c>
      <c r="F42" s="125">
        <v>13139500</v>
      </c>
      <c r="G42" s="125">
        <v>15530500</v>
      </c>
      <c r="H42" s="251">
        <f>G42+I42</f>
        <v>17921500</v>
      </c>
      <c r="I42" s="135">
        <f>G42-F42</f>
        <v>2391000</v>
      </c>
    </row>
    <row r="43" spans="1:9">
      <c r="A43" s="341"/>
      <c r="B43" s="123" t="s">
        <v>351</v>
      </c>
      <c r="C43" s="125">
        <v>119469743</v>
      </c>
      <c r="D43" s="125">
        <v>122864236</v>
      </c>
      <c r="E43" s="125">
        <v>126707727</v>
      </c>
      <c r="F43" s="125">
        <v>131395913</v>
      </c>
      <c r="G43" s="125">
        <v>135579663</v>
      </c>
      <c r="H43" s="249">
        <f>H42*I43</f>
        <v>156452846.36389685</v>
      </c>
      <c r="I43">
        <f>G43/G42</f>
        <v>8.7298968481375354</v>
      </c>
    </row>
    <row r="45" spans="1:9" ht="26.25">
      <c r="A45" s="117"/>
      <c r="B45" s="126" t="s">
        <v>354</v>
      </c>
      <c r="C45" s="118"/>
      <c r="D45" s="118"/>
      <c r="E45" s="118"/>
      <c r="F45" s="118"/>
      <c r="G45" s="118"/>
      <c r="H45" s="193">
        <f>H31+H36+H41</f>
        <v>21253</v>
      </c>
    </row>
    <row r="46" spans="1:9" ht="18.75">
      <c r="A46" s="342" t="s">
        <v>353</v>
      </c>
      <c r="B46" s="342"/>
      <c r="C46" s="342"/>
      <c r="D46" s="342"/>
      <c r="E46" s="342"/>
      <c r="F46" s="342"/>
      <c r="G46" s="116"/>
    </row>
    <row r="47" spans="1:9" ht="21">
      <c r="A47" s="343" t="s">
        <v>244</v>
      </c>
      <c r="B47" s="343" t="s">
        <v>348</v>
      </c>
      <c r="C47" s="344" t="s">
        <v>349</v>
      </c>
      <c r="D47" s="344"/>
      <c r="E47" s="344"/>
      <c r="F47" s="344"/>
      <c r="G47" s="344"/>
      <c r="H47" s="344"/>
    </row>
    <row r="48" spans="1:9" ht="21">
      <c r="A48" s="343"/>
      <c r="B48" s="343"/>
      <c r="C48" s="122">
        <v>2014</v>
      </c>
      <c r="D48" s="122">
        <v>2015</v>
      </c>
      <c r="E48" s="122">
        <v>2016</v>
      </c>
      <c r="F48" s="122">
        <v>2017</v>
      </c>
      <c r="G48" s="122">
        <v>2018</v>
      </c>
      <c r="H48" s="121">
        <v>2019</v>
      </c>
    </row>
    <row r="49" spans="1:8">
      <c r="A49" s="119">
        <v>1</v>
      </c>
      <c r="B49" s="119">
        <v>2</v>
      </c>
      <c r="C49" s="119">
        <v>3</v>
      </c>
      <c r="D49" s="119">
        <v>4</v>
      </c>
      <c r="E49" s="119">
        <v>5</v>
      </c>
      <c r="F49" s="119">
        <v>6</v>
      </c>
      <c r="G49" s="119">
        <v>7</v>
      </c>
      <c r="H49" s="119">
        <v>8</v>
      </c>
    </row>
    <row r="50" spans="1:8">
      <c r="A50" s="120">
        <v>1</v>
      </c>
      <c r="B50" s="123" t="s">
        <v>339</v>
      </c>
      <c r="C50" s="123"/>
      <c r="D50" s="123"/>
      <c r="E50" s="123"/>
      <c r="F50" s="123"/>
      <c r="G50" s="124"/>
      <c r="H50" s="1"/>
    </row>
    <row r="51" spans="1:8">
      <c r="A51" s="120"/>
      <c r="B51" s="123" t="s">
        <v>350</v>
      </c>
      <c r="C51" s="124">
        <f t="shared" ref="C51:H54" si="0">C8+C30</f>
        <v>2965</v>
      </c>
      <c r="D51" s="124">
        <f t="shared" si="0"/>
        <v>3254</v>
      </c>
      <c r="E51" s="124">
        <f t="shared" si="0"/>
        <v>3438</v>
      </c>
      <c r="F51" s="124">
        <f t="shared" si="0"/>
        <v>3558</v>
      </c>
      <c r="G51" s="124">
        <f t="shared" si="0"/>
        <v>3631</v>
      </c>
      <c r="H51" s="143">
        <f>H8+H30</f>
        <v>3688</v>
      </c>
    </row>
    <row r="52" spans="1:8">
      <c r="A52" s="120"/>
      <c r="B52" s="123" t="s">
        <v>341</v>
      </c>
      <c r="C52" s="124">
        <f t="shared" si="0"/>
        <v>6971</v>
      </c>
      <c r="D52" s="124">
        <f t="shared" si="0"/>
        <v>7602</v>
      </c>
      <c r="E52" s="124">
        <f t="shared" si="0"/>
        <v>8009</v>
      </c>
      <c r="F52" s="124">
        <f t="shared" si="0"/>
        <v>8779</v>
      </c>
      <c r="G52" s="124">
        <f t="shared" si="0"/>
        <v>9243</v>
      </c>
      <c r="H52" s="143">
        <f t="shared" si="0"/>
        <v>9718</v>
      </c>
    </row>
    <row r="53" spans="1:8">
      <c r="A53" s="120"/>
      <c r="B53" s="123" t="s">
        <v>359</v>
      </c>
      <c r="C53" s="124">
        <f t="shared" si="0"/>
        <v>3033709</v>
      </c>
      <c r="D53" s="124">
        <f t="shared" si="0"/>
        <v>3190709</v>
      </c>
      <c r="E53" s="124">
        <f t="shared" si="0"/>
        <v>3313024</v>
      </c>
      <c r="F53" s="124">
        <f t="shared" si="0"/>
        <v>3461144</v>
      </c>
      <c r="G53" s="124">
        <f t="shared" si="0"/>
        <v>3863154</v>
      </c>
      <c r="H53" s="143">
        <f t="shared" si="0"/>
        <v>3881154</v>
      </c>
    </row>
    <row r="54" spans="1:8">
      <c r="A54" s="120"/>
      <c r="B54" s="123" t="s">
        <v>351</v>
      </c>
      <c r="C54" s="124">
        <f t="shared" si="0"/>
        <v>167255008</v>
      </c>
      <c r="D54" s="124">
        <f t="shared" si="0"/>
        <v>176897173</v>
      </c>
      <c r="E54" s="124">
        <f t="shared" si="0"/>
        <v>183985173</v>
      </c>
      <c r="F54" s="124">
        <f t="shared" si="0"/>
        <v>192206482</v>
      </c>
      <c r="G54" s="124">
        <f t="shared" si="0"/>
        <v>212821732</v>
      </c>
      <c r="H54" s="143">
        <f t="shared" si="0"/>
        <v>213541732</v>
      </c>
    </row>
    <row r="55" spans="1:8">
      <c r="A55" s="120">
        <v>2</v>
      </c>
      <c r="B55" s="123" t="s">
        <v>344</v>
      </c>
      <c r="C55" s="123"/>
      <c r="D55" s="123"/>
      <c r="E55" s="123"/>
      <c r="F55" s="123"/>
      <c r="G55" s="123"/>
      <c r="H55" s="143"/>
    </row>
    <row r="56" spans="1:8">
      <c r="A56" s="120"/>
      <c r="B56" s="123" t="s">
        <v>350</v>
      </c>
      <c r="C56" s="124">
        <f t="shared" ref="C56:G59" si="1">C13+C35</f>
        <v>2348</v>
      </c>
      <c r="D56" s="124">
        <f t="shared" si="1"/>
        <v>2414</v>
      </c>
      <c r="E56" s="124">
        <f t="shared" si="1"/>
        <v>2435</v>
      </c>
      <c r="F56" s="124">
        <f t="shared" si="1"/>
        <v>2487</v>
      </c>
      <c r="G56" s="124">
        <f t="shared" si="1"/>
        <v>2495</v>
      </c>
      <c r="H56" s="143">
        <f t="shared" ref="H56:H64" si="2">H13+H35</f>
        <v>2519</v>
      </c>
    </row>
    <row r="57" spans="1:8">
      <c r="A57" s="120"/>
      <c r="B57" s="123" t="s">
        <v>341</v>
      </c>
      <c r="C57" s="124">
        <f t="shared" si="1"/>
        <v>6315</v>
      </c>
      <c r="D57" s="124">
        <f t="shared" si="1"/>
        <v>6497</v>
      </c>
      <c r="E57" s="124">
        <f t="shared" si="1"/>
        <v>6550</v>
      </c>
      <c r="F57" s="124">
        <f t="shared" si="1"/>
        <v>6888</v>
      </c>
      <c r="G57" s="124">
        <f t="shared" si="1"/>
        <v>7065</v>
      </c>
      <c r="H57" s="143">
        <f t="shared" si="2"/>
        <v>7159</v>
      </c>
    </row>
    <row r="58" spans="1:8">
      <c r="A58" s="120"/>
      <c r="B58" s="123" t="s">
        <v>345</v>
      </c>
      <c r="C58" s="124">
        <f t="shared" si="1"/>
        <v>719000</v>
      </c>
      <c r="D58" s="124">
        <f t="shared" si="1"/>
        <v>754484</v>
      </c>
      <c r="E58" s="124">
        <f t="shared" si="1"/>
        <v>759760</v>
      </c>
      <c r="F58" s="124">
        <f t="shared" si="1"/>
        <v>768738</v>
      </c>
      <c r="G58" s="124">
        <f t="shared" si="1"/>
        <v>786642</v>
      </c>
      <c r="H58" s="143">
        <f t="shared" si="2"/>
        <v>802446</v>
      </c>
    </row>
    <row r="59" spans="1:8">
      <c r="A59" s="120"/>
      <c r="B59" s="123" t="s">
        <v>351</v>
      </c>
      <c r="C59" s="124">
        <f t="shared" si="1"/>
        <v>179738966</v>
      </c>
      <c r="D59" s="124">
        <f t="shared" si="1"/>
        <v>188621108</v>
      </c>
      <c r="E59" s="124">
        <f t="shared" si="1"/>
        <v>189816638</v>
      </c>
      <c r="F59" s="124">
        <f t="shared" si="1"/>
        <v>192184742</v>
      </c>
      <c r="G59" s="124">
        <f t="shared" si="1"/>
        <v>202400742</v>
      </c>
      <c r="H59" s="143">
        <f t="shared" si="2"/>
        <v>206549424.22415066</v>
      </c>
    </row>
    <row r="60" spans="1:8">
      <c r="A60" s="120">
        <v>3</v>
      </c>
      <c r="B60" s="123" t="s">
        <v>352</v>
      </c>
      <c r="C60" s="123"/>
      <c r="D60" s="123"/>
      <c r="E60" s="123"/>
      <c r="F60" s="123"/>
      <c r="G60" s="123"/>
      <c r="H60" s="143"/>
    </row>
    <row r="61" spans="1:8">
      <c r="A61" s="1"/>
      <c r="B61" s="123" t="s">
        <v>350</v>
      </c>
      <c r="C61" s="124">
        <f t="shared" ref="C61:G64" si="3">C18+C40</f>
        <v>3773</v>
      </c>
      <c r="D61" s="124">
        <f t="shared" si="3"/>
        <v>3836</v>
      </c>
      <c r="E61" s="124">
        <f t="shared" si="3"/>
        <v>3862</v>
      </c>
      <c r="F61" s="124">
        <f t="shared" si="3"/>
        <v>3980</v>
      </c>
      <c r="G61" s="124">
        <f>G18+G40</f>
        <v>4004</v>
      </c>
      <c r="H61" s="143">
        <f t="shared" si="2"/>
        <v>4040</v>
      </c>
    </row>
    <row r="62" spans="1:8">
      <c r="A62" s="1"/>
      <c r="B62" s="123" t="s">
        <v>341</v>
      </c>
      <c r="C62" s="124">
        <f t="shared" si="3"/>
        <v>7757</v>
      </c>
      <c r="D62" s="124">
        <f t="shared" si="3"/>
        <v>7898</v>
      </c>
      <c r="E62" s="124">
        <f t="shared" si="3"/>
        <v>7969</v>
      </c>
      <c r="F62" s="124">
        <f t="shared" si="3"/>
        <v>8724</v>
      </c>
      <c r="G62" s="124">
        <f t="shared" si="3"/>
        <v>8854</v>
      </c>
      <c r="H62" s="143">
        <f t="shared" si="2"/>
        <v>8980</v>
      </c>
    </row>
    <row r="63" spans="1:8">
      <c r="A63" s="1"/>
      <c r="B63" s="123" t="s">
        <v>345</v>
      </c>
      <c r="C63" s="124">
        <f t="shared" si="3"/>
        <v>12594530</v>
      </c>
      <c r="D63" s="124">
        <f t="shared" si="3"/>
        <v>12934930</v>
      </c>
      <c r="E63" s="124">
        <f t="shared" si="3"/>
        <v>13463540</v>
      </c>
      <c r="F63" s="124">
        <f t="shared" si="3"/>
        <v>14007540</v>
      </c>
      <c r="G63" s="124">
        <f t="shared" si="3"/>
        <v>16698540</v>
      </c>
      <c r="H63" s="143">
        <f t="shared" si="2"/>
        <v>19389540</v>
      </c>
    </row>
    <row r="64" spans="1:8">
      <c r="A64" s="1"/>
      <c r="B64" s="123" t="s">
        <v>351</v>
      </c>
      <c r="C64" s="124">
        <f t="shared" si="3"/>
        <v>135683014</v>
      </c>
      <c r="D64" s="124">
        <f t="shared" si="3"/>
        <v>139077507</v>
      </c>
      <c r="E64" s="124">
        <f t="shared" si="3"/>
        <v>146533727</v>
      </c>
      <c r="F64" s="124">
        <f t="shared" si="3"/>
        <v>153096913</v>
      </c>
      <c r="G64" s="124">
        <f t="shared" si="3"/>
        <v>282615663</v>
      </c>
      <c r="H64" s="143">
        <f t="shared" si="2"/>
        <v>303488972.24657214</v>
      </c>
    </row>
    <row r="65" spans="8:8">
      <c r="H65" s="135"/>
    </row>
    <row r="66" spans="8:8">
      <c r="H66" s="135">
        <f>H52+H57+H62</f>
        <v>25857</v>
      </c>
    </row>
  </sheetData>
  <mergeCells count="17">
    <mergeCell ref="A17:A21"/>
    <mergeCell ref="A39:A43"/>
    <mergeCell ref="A46:F46"/>
    <mergeCell ref="A47:A48"/>
    <mergeCell ref="B47:B48"/>
    <mergeCell ref="C4:H4"/>
    <mergeCell ref="C47:H47"/>
    <mergeCell ref="C26:H26"/>
    <mergeCell ref="A25:F25"/>
    <mergeCell ref="A26:A27"/>
    <mergeCell ref="B26:B27"/>
    <mergeCell ref="A29:A33"/>
    <mergeCell ref="A34:A38"/>
    <mergeCell ref="A4:A5"/>
    <mergeCell ref="B4:B5"/>
    <mergeCell ref="A7:A11"/>
    <mergeCell ref="A12:A16"/>
  </mergeCells>
  <pageMargins left="0.67" right="0.5" top="0.75" bottom="0.75" header="0.3" footer="0.3"/>
  <pageSetup paperSize="9" orientation="landscape" horizontalDpi="360" verticalDpi="360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view="pageBreakPreview" zoomScale="78" zoomScaleSheetLayoutView="78" workbookViewId="0">
      <selection activeCell="H24" sqref="H24:H27"/>
    </sheetView>
  </sheetViews>
  <sheetFormatPr defaultRowHeight="15"/>
  <cols>
    <col min="1" max="1" width="7.7109375" customWidth="1"/>
    <col min="2" max="2" width="38" customWidth="1"/>
    <col min="3" max="8" width="16.140625" customWidth="1"/>
    <col min="9" max="9" width="13.28515625" bestFit="1" customWidth="1"/>
  </cols>
  <sheetData>
    <row r="1" spans="1:9" ht="26.25">
      <c r="A1" s="345" t="s">
        <v>355</v>
      </c>
      <c r="B1" s="345"/>
      <c r="C1" s="345"/>
      <c r="D1" s="345"/>
      <c r="E1" s="345"/>
      <c r="F1" s="345"/>
      <c r="G1" s="345"/>
    </row>
    <row r="2" spans="1:9" ht="21">
      <c r="A2" s="343" t="s">
        <v>244</v>
      </c>
      <c r="B2" s="343" t="s">
        <v>348</v>
      </c>
      <c r="C2" s="344" t="s">
        <v>349</v>
      </c>
      <c r="D2" s="344"/>
      <c r="E2" s="344"/>
      <c r="F2" s="344"/>
      <c r="G2" s="344"/>
      <c r="H2" s="344"/>
    </row>
    <row r="3" spans="1:9" ht="21">
      <c r="A3" s="343"/>
      <c r="B3" s="343"/>
      <c r="C3" s="122">
        <v>2014</v>
      </c>
      <c r="D3" s="122">
        <v>2015</v>
      </c>
      <c r="E3" s="122">
        <v>2016</v>
      </c>
      <c r="F3" s="122">
        <v>2017</v>
      </c>
      <c r="G3" s="122">
        <v>2018</v>
      </c>
      <c r="H3" s="121">
        <v>2019</v>
      </c>
    </row>
    <row r="4" spans="1:9">
      <c r="A4" s="131">
        <v>1</v>
      </c>
      <c r="B4" s="131">
        <v>2</v>
      </c>
      <c r="C4" s="131">
        <v>3</v>
      </c>
      <c r="D4" s="131">
        <v>4</v>
      </c>
      <c r="E4" s="131">
        <v>5</v>
      </c>
      <c r="F4" s="131">
        <v>6</v>
      </c>
      <c r="G4" s="131">
        <v>7</v>
      </c>
      <c r="H4" s="131">
        <v>8</v>
      </c>
    </row>
    <row r="5" spans="1:9" ht="18.75">
      <c r="A5" s="132">
        <v>1</v>
      </c>
      <c r="B5" s="133" t="s">
        <v>356</v>
      </c>
      <c r="C5" s="1"/>
      <c r="D5" s="1"/>
      <c r="E5" s="1"/>
      <c r="F5" s="1"/>
      <c r="G5" s="1"/>
      <c r="H5" s="1"/>
    </row>
    <row r="6" spans="1:9" ht="18.75">
      <c r="A6" s="132"/>
      <c r="B6" s="133" t="s">
        <v>350</v>
      </c>
      <c r="C6" s="206">
        <v>110</v>
      </c>
      <c r="D6" s="206">
        <v>116</v>
      </c>
      <c r="E6" s="206">
        <v>119</v>
      </c>
      <c r="F6" s="206">
        <v>170</v>
      </c>
      <c r="G6" s="206">
        <v>250</v>
      </c>
      <c r="H6" s="207">
        <f>G6+102-38</f>
        <v>314</v>
      </c>
      <c r="I6" s="135">
        <f>H6+102</f>
        <v>416</v>
      </c>
    </row>
    <row r="7" spans="1:9" ht="18.75">
      <c r="A7" s="132"/>
      <c r="B7" s="133" t="s">
        <v>341</v>
      </c>
      <c r="C7" s="206">
        <v>921</v>
      </c>
      <c r="D7" s="206">
        <v>934</v>
      </c>
      <c r="E7" s="206">
        <v>954</v>
      </c>
      <c r="F7" s="206">
        <v>1104</v>
      </c>
      <c r="G7" s="206">
        <v>1270</v>
      </c>
      <c r="H7" s="207">
        <f>G7+123</f>
        <v>1393</v>
      </c>
      <c r="I7" s="135">
        <f>H7+204</f>
        <v>1597</v>
      </c>
    </row>
    <row r="8" spans="1:9" ht="18.75">
      <c r="A8" s="132"/>
      <c r="B8" s="133" t="s">
        <v>345</v>
      </c>
      <c r="C8" s="206">
        <v>100000</v>
      </c>
      <c r="D8" s="206">
        <v>120000</v>
      </c>
      <c r="E8" s="206">
        <v>150000</v>
      </c>
      <c r="F8" s="206">
        <v>136400</v>
      </c>
      <c r="G8" s="206">
        <v>432080</v>
      </c>
      <c r="H8" s="207">
        <f>G8+14960</f>
        <v>447040</v>
      </c>
      <c r="I8" s="135">
        <f>H8-G8</f>
        <v>14960</v>
      </c>
    </row>
    <row r="9" spans="1:9" ht="18.75">
      <c r="A9" s="132"/>
      <c r="B9" s="133" t="s">
        <v>351</v>
      </c>
      <c r="C9" s="206">
        <v>11277712</v>
      </c>
      <c r="D9" s="206">
        <v>11446877.68</v>
      </c>
      <c r="E9" s="206">
        <v>14745200</v>
      </c>
      <c r="F9" s="206">
        <v>16745200</v>
      </c>
      <c r="G9" s="206">
        <v>19360600</v>
      </c>
      <c r="H9" s="208">
        <f>G9+I10</f>
        <v>20030926.272912424</v>
      </c>
      <c r="I9" s="146">
        <f>G9/G8</f>
        <v>44.807905943343826</v>
      </c>
    </row>
    <row r="10" spans="1:9" ht="18.75">
      <c r="A10" s="132"/>
      <c r="B10" s="133"/>
      <c r="C10" s="203"/>
      <c r="D10" s="203"/>
      <c r="E10" s="203"/>
      <c r="F10" s="203"/>
      <c r="G10" s="203"/>
      <c r="H10" s="203"/>
      <c r="I10">
        <f>I8*I9</f>
        <v>670326.27291242359</v>
      </c>
    </row>
    <row r="11" spans="1:9" ht="18.75">
      <c r="A11" s="132">
        <v>2</v>
      </c>
      <c r="B11" s="133" t="s">
        <v>357</v>
      </c>
      <c r="C11" s="203"/>
      <c r="D11" s="203"/>
      <c r="E11" s="203"/>
      <c r="F11" s="203"/>
      <c r="G11" s="203"/>
      <c r="H11" s="203"/>
    </row>
    <row r="12" spans="1:9" ht="18.75">
      <c r="A12" s="132"/>
      <c r="B12" s="133" t="s">
        <v>350</v>
      </c>
      <c r="C12" s="206">
        <v>400</v>
      </c>
      <c r="D12" s="206">
        <v>415</v>
      </c>
      <c r="E12" s="206">
        <v>435</v>
      </c>
      <c r="F12" s="206">
        <v>479</v>
      </c>
      <c r="G12" s="206">
        <f>F12+53</f>
        <v>532</v>
      </c>
      <c r="H12" s="206">
        <f>G12+89-20</f>
        <v>601</v>
      </c>
      <c r="I12" s="135">
        <f>H12+87</f>
        <v>688</v>
      </c>
    </row>
    <row r="13" spans="1:9" ht="18.75">
      <c r="A13" s="132"/>
      <c r="B13" s="133" t="s">
        <v>341</v>
      </c>
      <c r="C13" s="209">
        <v>926.4</v>
      </c>
      <c r="D13" s="209">
        <v>952.8</v>
      </c>
      <c r="E13" s="209">
        <v>1026</v>
      </c>
      <c r="F13" s="209">
        <v>12145.199999999999</v>
      </c>
      <c r="G13" s="206">
        <f>F13+104</f>
        <v>12249.199999999999</v>
      </c>
      <c r="H13" s="206">
        <f>G13+136</f>
        <v>12385.199999999999</v>
      </c>
      <c r="I13" s="135">
        <f>H13+174</f>
        <v>12559.199999999999</v>
      </c>
    </row>
    <row r="14" spans="1:9" ht="18.75">
      <c r="A14" s="132"/>
      <c r="B14" s="133" t="s">
        <v>345</v>
      </c>
      <c r="C14" s="206">
        <v>685</v>
      </c>
      <c r="D14" s="206">
        <v>798</v>
      </c>
      <c r="E14" s="206">
        <v>899</v>
      </c>
      <c r="F14" s="206">
        <v>1135</v>
      </c>
      <c r="G14" s="206">
        <v>1272</v>
      </c>
      <c r="H14" s="206">
        <f>G14+3433</f>
        <v>4705</v>
      </c>
    </row>
    <row r="15" spans="1:9" ht="18.75">
      <c r="A15" s="132"/>
      <c r="B15" s="133" t="s">
        <v>351</v>
      </c>
      <c r="C15" s="206">
        <v>15126720</v>
      </c>
      <c r="D15" s="206">
        <v>15353620.799999999</v>
      </c>
      <c r="E15" s="206">
        <v>17506000.800000001</v>
      </c>
      <c r="F15" s="206">
        <f>E15+15995447</f>
        <v>33501447.800000001</v>
      </c>
      <c r="G15" s="206">
        <f>F15+11996585</f>
        <v>45498032.799999997</v>
      </c>
      <c r="H15" s="206">
        <f>G15+I16</f>
        <v>168292644.90880501</v>
      </c>
      <c r="I15" s="135">
        <f>G15/G14</f>
        <v>35768.893710691824</v>
      </c>
    </row>
    <row r="16" spans="1:9" ht="18.75">
      <c r="A16" s="132"/>
      <c r="B16" s="133"/>
      <c r="C16" s="203"/>
      <c r="D16" s="203"/>
      <c r="E16" s="203"/>
      <c r="F16" s="203"/>
      <c r="G16" s="203"/>
      <c r="H16" s="203"/>
      <c r="I16" s="135">
        <f>I15*3433</f>
        <v>122794612.10880503</v>
      </c>
    </row>
    <row r="17" spans="1:9" ht="18.75">
      <c r="A17" s="132">
        <v>3</v>
      </c>
      <c r="B17" s="133" t="s">
        <v>358</v>
      </c>
      <c r="C17" s="203"/>
      <c r="D17" s="203"/>
      <c r="E17" s="203"/>
      <c r="F17" s="203"/>
      <c r="G17" s="203"/>
      <c r="H17" s="203"/>
    </row>
    <row r="18" spans="1:9" ht="18.75">
      <c r="A18" s="132"/>
      <c r="B18" s="133" t="s">
        <v>350</v>
      </c>
      <c r="C18" s="206">
        <v>326</v>
      </c>
      <c r="D18" s="206">
        <f>748-D12</f>
        <v>333</v>
      </c>
      <c r="E18" s="206">
        <f>795-E12</f>
        <v>360</v>
      </c>
      <c r="F18" s="206">
        <f>871-F12</f>
        <v>392</v>
      </c>
      <c r="G18" s="206">
        <v>422</v>
      </c>
      <c r="H18" s="206">
        <f>G18+19</f>
        <v>441</v>
      </c>
      <c r="I18" s="135">
        <f>H18+19</f>
        <v>460</v>
      </c>
    </row>
    <row r="19" spans="1:9" ht="18.75">
      <c r="A19" s="133"/>
      <c r="B19" s="133" t="s">
        <v>341</v>
      </c>
      <c r="C19" s="209">
        <v>617.6</v>
      </c>
      <c r="D19" s="209">
        <v>635.20000000000005</v>
      </c>
      <c r="E19" s="209">
        <v>684</v>
      </c>
      <c r="F19" s="209">
        <v>897</v>
      </c>
      <c r="G19" s="206">
        <v>1032</v>
      </c>
      <c r="H19" s="206">
        <f>G19+32</f>
        <v>1064</v>
      </c>
      <c r="I19" s="135">
        <f>H19+38</f>
        <v>1102</v>
      </c>
    </row>
    <row r="20" spans="1:9" ht="18.75">
      <c r="A20" s="133"/>
      <c r="B20" s="133" t="s">
        <v>345</v>
      </c>
      <c r="C20" s="210">
        <v>4400</v>
      </c>
      <c r="D20" s="210">
        <f>E20-50</f>
        <v>4450</v>
      </c>
      <c r="E20" s="210">
        <f>F20-50</f>
        <v>4500</v>
      </c>
      <c r="F20" s="210">
        <f>G20-50</f>
        <v>4550</v>
      </c>
      <c r="G20" s="210">
        <v>4600</v>
      </c>
      <c r="H20" s="211">
        <v>4650</v>
      </c>
    </row>
    <row r="21" spans="1:9" ht="18.75">
      <c r="A21" s="133"/>
      <c r="B21" s="133" t="s">
        <v>351</v>
      </c>
      <c r="C21" s="206">
        <v>10084480</v>
      </c>
      <c r="D21" s="206">
        <v>10235747.200000001</v>
      </c>
      <c r="E21" s="206">
        <v>11670667.199999999</v>
      </c>
      <c r="F21" s="206">
        <f>E21+1434920</f>
        <v>13105587.199999999</v>
      </c>
      <c r="G21" s="206">
        <f>F21+1434920</f>
        <v>14540507.199999999</v>
      </c>
      <c r="H21" s="212">
        <f>H20*I21</f>
        <v>14698556.191304348</v>
      </c>
      <c r="I21">
        <f>G21/G20</f>
        <v>3160.9798260869566</v>
      </c>
    </row>
    <row r="22" spans="1:9" ht="18.75">
      <c r="A22" s="133"/>
      <c r="B22" s="133"/>
      <c r="C22" s="206"/>
      <c r="D22" s="206"/>
      <c r="E22" s="206"/>
      <c r="F22" s="206"/>
      <c r="G22" s="206"/>
      <c r="H22" s="203"/>
    </row>
    <row r="23" spans="1:9" ht="18.75">
      <c r="A23" s="133"/>
      <c r="B23" s="133"/>
      <c r="C23" s="206"/>
      <c r="D23" s="206"/>
      <c r="E23" s="206"/>
      <c r="F23" s="206"/>
      <c r="G23" s="206"/>
      <c r="H23" s="203"/>
    </row>
    <row r="24" spans="1:9" ht="18.75">
      <c r="A24" s="147"/>
      <c r="B24" s="147" t="s">
        <v>350</v>
      </c>
      <c r="C24" s="204">
        <f>C6+C12+C18</f>
        <v>836</v>
      </c>
      <c r="D24" s="204">
        <f t="shared" ref="D24:G27" si="0">D6+D12+D18</f>
        <v>864</v>
      </c>
      <c r="E24" s="204">
        <f t="shared" si="0"/>
        <v>914</v>
      </c>
      <c r="F24" s="204">
        <f t="shared" si="0"/>
        <v>1041</v>
      </c>
      <c r="G24" s="204">
        <f t="shared" si="0"/>
        <v>1204</v>
      </c>
      <c r="H24" s="204">
        <f>H18+H12+H6</f>
        <v>1356</v>
      </c>
    </row>
    <row r="25" spans="1:9" ht="18.75">
      <c r="A25" s="147"/>
      <c r="B25" s="147" t="s">
        <v>341</v>
      </c>
      <c r="C25" s="204">
        <f>C7+C13+C19</f>
        <v>2465</v>
      </c>
      <c r="D25" s="204">
        <f t="shared" si="0"/>
        <v>2522</v>
      </c>
      <c r="E25" s="204">
        <f t="shared" si="0"/>
        <v>2664</v>
      </c>
      <c r="F25" s="204">
        <f t="shared" si="0"/>
        <v>14146.199999999999</v>
      </c>
      <c r="G25" s="204">
        <f t="shared" si="0"/>
        <v>14551.199999999999</v>
      </c>
      <c r="H25" s="204">
        <f>H19+H13+H7</f>
        <v>14842.199999999999</v>
      </c>
    </row>
    <row r="26" spans="1:9" ht="18.75">
      <c r="A26" s="147"/>
      <c r="B26" s="147" t="s">
        <v>345</v>
      </c>
      <c r="C26" s="204">
        <f>C8+C14+C20</f>
        <v>105085</v>
      </c>
      <c r="D26" s="204">
        <f t="shared" si="0"/>
        <v>125248</v>
      </c>
      <c r="E26" s="204">
        <f t="shared" si="0"/>
        <v>155399</v>
      </c>
      <c r="F26" s="204">
        <f t="shared" si="0"/>
        <v>142085</v>
      </c>
      <c r="G26" s="204">
        <f t="shared" si="0"/>
        <v>437952</v>
      </c>
      <c r="H26" s="205">
        <f>H20+H14+H8</f>
        <v>456395</v>
      </c>
    </row>
    <row r="27" spans="1:9" ht="18.75">
      <c r="A27" s="148"/>
      <c r="B27" s="147" t="s">
        <v>351</v>
      </c>
      <c r="C27" s="204">
        <f>C9+C15+C21</f>
        <v>36488912</v>
      </c>
      <c r="D27" s="204">
        <f t="shared" si="0"/>
        <v>37036245.68</v>
      </c>
      <c r="E27" s="204">
        <f t="shared" si="0"/>
        <v>43921868</v>
      </c>
      <c r="F27" s="204">
        <f t="shared" si="0"/>
        <v>63352235</v>
      </c>
      <c r="G27" s="204">
        <f t="shared" si="0"/>
        <v>79399140</v>
      </c>
      <c r="H27" s="205">
        <f>H21+H15+H9</f>
        <v>203022127.37302178</v>
      </c>
    </row>
    <row r="28" spans="1:9" ht="20.25">
      <c r="B28" s="129"/>
      <c r="C28" s="130"/>
      <c r="D28" s="130"/>
      <c r="E28" s="130"/>
      <c r="F28" s="130"/>
      <c r="G28" s="130"/>
    </row>
    <row r="30" spans="1:9">
      <c r="H30">
        <v>1356</v>
      </c>
    </row>
    <row r="32" spans="1:9">
      <c r="H32" s="135">
        <v>25857</v>
      </c>
    </row>
    <row r="33" spans="8:8">
      <c r="H33" s="135">
        <f>H25+H32</f>
        <v>40699.199999999997</v>
      </c>
    </row>
    <row r="35" spans="8:8">
      <c r="H35">
        <v>4604</v>
      </c>
    </row>
  </sheetData>
  <mergeCells count="4">
    <mergeCell ref="A1:G1"/>
    <mergeCell ref="A2:A3"/>
    <mergeCell ref="B2:B3"/>
    <mergeCell ref="C2:H2"/>
  </mergeCells>
  <pageMargins left="0.53" right="0.59" top="0.75" bottom="0.75" header="0.3" footer="0.3"/>
  <pageSetup paperSize="9" scale="92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"/>
  <sheetViews>
    <sheetView workbookViewId="0">
      <selection activeCell="C21" sqref="C21"/>
    </sheetView>
  </sheetViews>
  <sheetFormatPr defaultRowHeight="15"/>
  <cols>
    <col min="2" max="2" width="14.85546875" bestFit="1" customWidth="1"/>
    <col min="3" max="3" width="16.42578125" customWidth="1"/>
    <col min="4" max="4" width="16.28515625" customWidth="1"/>
  </cols>
  <sheetData>
    <row r="1" spans="1:5" ht="15.75" thickBot="1">
      <c r="A1" t="s">
        <v>375</v>
      </c>
    </row>
    <row r="2" spans="1:5" ht="15.75" thickBot="1">
      <c r="A2" s="346" t="s">
        <v>46</v>
      </c>
      <c r="B2" s="346" t="s">
        <v>47</v>
      </c>
      <c r="C2" s="349" t="s">
        <v>365</v>
      </c>
      <c r="D2" s="350"/>
      <c r="E2" s="154"/>
    </row>
    <row r="3" spans="1:5" ht="29.25" customHeight="1">
      <c r="A3" s="347"/>
      <c r="B3" s="347"/>
      <c r="C3" s="351" t="s">
        <v>366</v>
      </c>
      <c r="D3" s="351" t="s">
        <v>367</v>
      </c>
      <c r="E3" s="154"/>
    </row>
    <row r="4" spans="1:5" ht="15.75" thickBot="1">
      <c r="A4" s="348"/>
      <c r="B4" s="348"/>
      <c r="C4" s="352"/>
      <c r="D4" s="352"/>
      <c r="E4" s="154"/>
    </row>
    <row r="5" spans="1:5" ht="15.75" thickBot="1">
      <c r="A5" s="155">
        <v>1</v>
      </c>
      <c r="B5" s="156" t="s">
        <v>13</v>
      </c>
      <c r="C5" s="157">
        <v>916</v>
      </c>
      <c r="D5" s="155">
        <v>942</v>
      </c>
      <c r="E5" s="154"/>
    </row>
    <row r="6" spans="1:5" ht="15.75" thickBot="1">
      <c r="A6" s="155">
        <v>2</v>
      </c>
      <c r="B6" s="156" t="s">
        <v>29</v>
      </c>
      <c r="C6" s="157">
        <v>1.2909999999999999</v>
      </c>
      <c r="D6" s="155">
        <v>1320</v>
      </c>
      <c r="E6" s="154"/>
    </row>
    <row r="7" spans="1:5" ht="15.75" thickBot="1">
      <c r="A7" s="155">
        <v>3</v>
      </c>
      <c r="B7" s="156" t="s">
        <v>38</v>
      </c>
      <c r="C7" s="157">
        <v>1.5189999999999999</v>
      </c>
      <c r="D7" s="155">
        <v>1551</v>
      </c>
      <c r="E7" s="154"/>
    </row>
    <row r="8" spans="1:5" ht="15.75" thickBot="1">
      <c r="A8" s="155">
        <v>4</v>
      </c>
      <c r="B8" s="156" t="s">
        <v>22</v>
      </c>
      <c r="C8" s="157">
        <v>3.528</v>
      </c>
      <c r="D8" s="155">
        <v>3556</v>
      </c>
      <c r="E8" s="154"/>
    </row>
    <row r="9" spans="1:5" ht="15.75" thickBot="1">
      <c r="A9" s="155">
        <v>5</v>
      </c>
      <c r="B9" s="156" t="s">
        <v>26</v>
      </c>
      <c r="C9" s="157">
        <v>601</v>
      </c>
      <c r="D9" s="155">
        <v>612</v>
      </c>
      <c r="E9" s="154"/>
    </row>
    <row r="10" spans="1:5" ht="15.75" thickBot="1">
      <c r="A10" s="155">
        <v>6</v>
      </c>
      <c r="B10" s="156" t="s">
        <v>18</v>
      </c>
      <c r="C10" s="157">
        <v>672</v>
      </c>
      <c r="D10" s="155">
        <v>724</v>
      </c>
      <c r="E10" s="154"/>
    </row>
    <row r="11" spans="1:5" ht="15.75" thickBot="1">
      <c r="A11" s="155">
        <v>7</v>
      </c>
      <c r="B11" s="156" t="s">
        <v>44</v>
      </c>
      <c r="C11" s="157">
        <v>525</v>
      </c>
      <c r="D11" s="155">
        <v>556</v>
      </c>
      <c r="E11" s="154"/>
    </row>
    <row r="12" spans="1:5" ht="15.75" thickBot="1">
      <c r="A12" s="155">
        <v>8</v>
      </c>
      <c r="B12" s="156" t="s">
        <v>34</v>
      </c>
      <c r="C12" s="157">
        <v>904</v>
      </c>
      <c r="D12" s="155">
        <v>931</v>
      </c>
      <c r="E12" s="154"/>
    </row>
    <row r="13" spans="1:5" ht="15.75" thickBot="1">
      <c r="A13" s="155">
        <v>9</v>
      </c>
      <c r="B13" s="156" t="s">
        <v>9</v>
      </c>
      <c r="C13" s="157">
        <v>567</v>
      </c>
      <c r="D13" s="155">
        <v>582</v>
      </c>
      <c r="E13" s="154"/>
    </row>
    <row r="14" spans="1:5" ht="15.75" thickBot="1">
      <c r="A14" s="155">
        <v>10</v>
      </c>
      <c r="B14" s="156" t="s">
        <v>48</v>
      </c>
      <c r="C14" s="157">
        <v>496</v>
      </c>
      <c r="D14" s="155">
        <v>504</v>
      </c>
      <c r="E14" s="154"/>
    </row>
    <row r="15" spans="1:5" ht="15.75" thickBot="1">
      <c r="A15" s="158"/>
      <c r="B15" s="159" t="s">
        <v>45</v>
      </c>
      <c r="C15" s="160">
        <v>11019</v>
      </c>
      <c r="D15" s="158">
        <v>11.278</v>
      </c>
      <c r="E15" s="154"/>
    </row>
  </sheetData>
  <mergeCells count="5">
    <mergeCell ref="A2:A4"/>
    <mergeCell ref="B2:B4"/>
    <mergeCell ref="C2:D2"/>
    <mergeCell ref="C3:C4"/>
    <mergeCell ref="D3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2"/>
  <sheetViews>
    <sheetView view="pageBreakPreview" topLeftCell="A22" zoomScale="190" zoomScaleSheetLayoutView="190" workbookViewId="0">
      <selection activeCell="C34" sqref="C34"/>
    </sheetView>
  </sheetViews>
  <sheetFormatPr defaultRowHeight="15"/>
  <cols>
    <col min="1" max="1" width="30" customWidth="1"/>
    <col min="2" max="7" width="10.7109375" style="201" customWidth="1"/>
    <col min="8" max="19" width="10.5703125" style="201" customWidth="1"/>
    <col min="20" max="22" width="11.140625" customWidth="1"/>
  </cols>
  <sheetData>
    <row r="1" spans="1:17" ht="12.75" customHeight="1">
      <c r="A1" s="354" t="s">
        <v>368</v>
      </c>
      <c r="B1" s="353">
        <v>2013</v>
      </c>
      <c r="C1" s="353"/>
      <c r="D1" s="353"/>
      <c r="E1" s="353">
        <v>2014</v>
      </c>
      <c r="F1" s="353"/>
      <c r="G1" s="353"/>
    </row>
    <row r="2" spans="1:17" ht="12.75" customHeight="1">
      <c r="A2" s="354"/>
      <c r="B2" s="197" t="s">
        <v>369</v>
      </c>
      <c r="C2" s="197" t="s">
        <v>370</v>
      </c>
      <c r="D2" s="198" t="s">
        <v>0</v>
      </c>
      <c r="E2" s="197" t="s">
        <v>369</v>
      </c>
      <c r="F2" s="197" t="s">
        <v>370</v>
      </c>
      <c r="G2" s="198" t="s">
        <v>0</v>
      </c>
    </row>
    <row r="3" spans="1:17" ht="12.75" customHeight="1">
      <c r="A3" s="215">
        <v>1</v>
      </c>
      <c r="B3" s="214">
        <v>2</v>
      </c>
      <c r="C3" s="214">
        <v>3</v>
      </c>
      <c r="D3" s="214">
        <v>4</v>
      </c>
      <c r="E3" s="214">
        <v>2</v>
      </c>
      <c r="F3" s="214">
        <v>3</v>
      </c>
      <c r="G3" s="214">
        <v>4</v>
      </c>
    </row>
    <row r="4" spans="1:17" ht="12.75" customHeight="1">
      <c r="A4" s="202" t="s">
        <v>371</v>
      </c>
      <c r="B4" s="199">
        <v>494</v>
      </c>
      <c r="C4" s="199">
        <v>9336</v>
      </c>
      <c r="D4" s="200">
        <v>9830</v>
      </c>
      <c r="E4" s="199">
        <v>506</v>
      </c>
      <c r="F4" s="199">
        <v>9413</v>
      </c>
      <c r="G4" s="200">
        <v>9919</v>
      </c>
    </row>
    <row r="5" spans="1:17" ht="12.75" customHeight="1">
      <c r="A5" s="202" t="s">
        <v>372</v>
      </c>
      <c r="B5" s="199">
        <v>4826</v>
      </c>
      <c r="C5" s="199">
        <v>18200</v>
      </c>
      <c r="D5" s="200">
        <v>23026</v>
      </c>
      <c r="E5" s="199">
        <v>4904</v>
      </c>
      <c r="F5" s="199">
        <v>18604</v>
      </c>
      <c r="G5" s="200">
        <v>23508</v>
      </c>
    </row>
    <row r="6" spans="1:17" ht="12.75" customHeight="1">
      <c r="A6" s="202" t="s">
        <v>373</v>
      </c>
      <c r="B6" s="199">
        <v>220920000</v>
      </c>
      <c r="C6" s="199">
        <v>296339863</v>
      </c>
      <c r="D6" s="200">
        <v>517259863</v>
      </c>
      <c r="E6" s="199">
        <v>224485000</v>
      </c>
      <c r="F6" s="199">
        <v>303824863</v>
      </c>
      <c r="G6" s="200">
        <v>528309863</v>
      </c>
      <c r="H6" s="213"/>
    </row>
    <row r="7" spans="1:17" ht="12.75" customHeight="1">
      <c r="A7" s="202" t="s">
        <v>374</v>
      </c>
      <c r="B7" s="199">
        <v>148298352</v>
      </c>
      <c r="C7" s="199">
        <v>288171329</v>
      </c>
      <c r="D7" s="200">
        <v>436469681</v>
      </c>
      <c r="E7" s="199">
        <v>150511352</v>
      </c>
      <c r="F7" s="199">
        <v>194453829</v>
      </c>
      <c r="G7" s="200">
        <v>344965181</v>
      </c>
    </row>
    <row r="8" spans="1:17" ht="12.75" customHeight="1">
      <c r="A8" s="202" t="s">
        <v>376</v>
      </c>
      <c r="B8" s="199">
        <v>119239250</v>
      </c>
      <c r="C8" s="199">
        <v>82721402</v>
      </c>
      <c r="D8" s="200">
        <v>201960652</v>
      </c>
      <c r="E8" s="199">
        <v>120158250</v>
      </c>
      <c r="F8" s="199">
        <v>83396402</v>
      </c>
      <c r="G8" s="200">
        <v>203554652</v>
      </c>
    </row>
    <row r="9" spans="1:17" ht="12.75" customHeight="1">
      <c r="A9" s="354" t="s">
        <v>368</v>
      </c>
      <c r="B9" s="353">
        <v>2015</v>
      </c>
      <c r="C9" s="353"/>
      <c r="D9" s="353"/>
      <c r="E9" s="353">
        <v>2016</v>
      </c>
      <c r="F9" s="353"/>
      <c r="G9" s="353"/>
    </row>
    <row r="10" spans="1:17" ht="12.75" customHeight="1">
      <c r="A10" s="354"/>
      <c r="B10" s="197" t="s">
        <v>369</v>
      </c>
      <c r="C10" s="197" t="s">
        <v>370</v>
      </c>
      <c r="D10" s="198" t="s">
        <v>0</v>
      </c>
      <c r="E10" s="197" t="s">
        <v>369</v>
      </c>
      <c r="F10" s="197" t="s">
        <v>370</v>
      </c>
      <c r="G10" s="198" t="s">
        <v>0</v>
      </c>
      <c r="K10" s="213">
        <f>E22-B22</f>
        <v>0</v>
      </c>
      <c r="O10" s="213"/>
      <c r="P10" s="213"/>
      <c r="Q10" s="213"/>
    </row>
    <row r="11" spans="1:17" ht="12.75" customHeight="1">
      <c r="A11" s="215">
        <v>1</v>
      </c>
      <c r="B11" s="214">
        <v>2</v>
      </c>
      <c r="C11" s="214">
        <v>3</v>
      </c>
      <c r="D11" s="214">
        <v>4</v>
      </c>
      <c r="E11" s="214">
        <v>2</v>
      </c>
      <c r="F11" s="214">
        <v>3</v>
      </c>
      <c r="G11" s="214">
        <v>4</v>
      </c>
      <c r="N11" s="213"/>
      <c r="O11" s="213"/>
    </row>
    <row r="12" spans="1:17" ht="12.75" customHeight="1">
      <c r="A12" s="202" t="s">
        <v>371</v>
      </c>
      <c r="B12" s="199">
        <v>516</v>
      </c>
      <c r="C12" s="199">
        <v>9179</v>
      </c>
      <c r="D12" s="200">
        <v>9695</v>
      </c>
      <c r="E12" s="199">
        <v>526</v>
      </c>
      <c r="F12" s="199">
        <v>10098</v>
      </c>
      <c r="G12" s="200">
        <v>10624</v>
      </c>
      <c r="N12" s="213"/>
      <c r="O12" s="213"/>
    </row>
    <row r="13" spans="1:17" ht="12.75" customHeight="1">
      <c r="A13" s="202" t="s">
        <v>372</v>
      </c>
      <c r="B13" s="199">
        <v>4969</v>
      </c>
      <c r="C13" s="199">
        <v>19550</v>
      </c>
      <c r="D13" s="200">
        <v>24519</v>
      </c>
      <c r="E13" s="199">
        <v>5119</v>
      </c>
      <c r="F13" s="199">
        <v>20865</v>
      </c>
      <c r="G13" s="200">
        <v>25984</v>
      </c>
    </row>
    <row r="14" spans="1:17" ht="12.75" customHeight="1">
      <c r="A14" s="202" t="s">
        <v>373</v>
      </c>
      <c r="B14" s="199">
        <v>231713168</v>
      </c>
      <c r="C14" s="199">
        <v>318893863</v>
      </c>
      <c r="D14" s="200">
        <v>550607031</v>
      </c>
      <c r="E14" s="199">
        <v>247354034</v>
      </c>
      <c r="F14" s="199">
        <v>331873445.5</v>
      </c>
      <c r="G14" s="200">
        <v>579227479.5</v>
      </c>
      <c r="N14" s="213"/>
      <c r="O14" s="213"/>
    </row>
    <row r="15" spans="1:17" ht="12.75" customHeight="1">
      <c r="A15" s="202" t="s">
        <v>374</v>
      </c>
      <c r="B15" s="199">
        <v>153900018</v>
      </c>
      <c r="C15" s="199">
        <v>201505079</v>
      </c>
      <c r="D15" s="200">
        <v>355405097</v>
      </c>
      <c r="E15" s="199">
        <v>163522123</v>
      </c>
      <c r="F15" s="199">
        <v>208748713</v>
      </c>
      <c r="G15" s="200">
        <v>372270836</v>
      </c>
    </row>
    <row r="16" spans="1:17" ht="12.75" customHeight="1">
      <c r="A16" s="202" t="s">
        <v>376</v>
      </c>
      <c r="B16" s="199">
        <v>122797778</v>
      </c>
      <c r="C16" s="199">
        <v>86469187</v>
      </c>
      <c r="D16" s="200">
        <v>209266965</v>
      </c>
      <c r="E16" s="199">
        <v>142346956</v>
      </c>
      <c r="F16" s="199">
        <v>90179560</v>
      </c>
      <c r="G16" s="200">
        <v>232526516</v>
      </c>
      <c r="N16" s="213"/>
      <c r="O16" s="213"/>
    </row>
    <row r="17" spans="1:15" ht="12.75" customHeight="1">
      <c r="A17" s="354" t="s">
        <v>368</v>
      </c>
      <c r="B17" s="353">
        <v>2017</v>
      </c>
      <c r="C17" s="353"/>
      <c r="D17" s="353"/>
      <c r="E17" s="353">
        <v>2018</v>
      </c>
      <c r="F17" s="353"/>
      <c r="G17" s="353"/>
    </row>
    <row r="18" spans="1:15" ht="12.75" customHeight="1">
      <c r="A18" s="354"/>
      <c r="B18" s="197" t="s">
        <v>369</v>
      </c>
      <c r="C18" s="197" t="s">
        <v>370</v>
      </c>
      <c r="D18" s="198" t="s">
        <v>0</v>
      </c>
      <c r="E18" s="197" t="s">
        <v>369</v>
      </c>
      <c r="F18" s="197" t="s">
        <v>370</v>
      </c>
      <c r="G18" s="198" t="s">
        <v>0</v>
      </c>
      <c r="N18" s="213"/>
      <c r="O18" s="213"/>
    </row>
    <row r="19" spans="1:15" ht="12.75" customHeight="1">
      <c r="A19" s="215">
        <v>1</v>
      </c>
      <c r="B19" s="214">
        <v>2</v>
      </c>
      <c r="C19" s="214">
        <v>3</v>
      </c>
      <c r="D19" s="214">
        <v>4</v>
      </c>
      <c r="E19" s="214">
        <v>2</v>
      </c>
      <c r="F19" s="214">
        <v>3</v>
      </c>
      <c r="G19" s="214">
        <v>4</v>
      </c>
      <c r="N19" s="213"/>
      <c r="O19" s="213"/>
    </row>
    <row r="20" spans="1:15" ht="12.75" customHeight="1">
      <c r="A20" s="202" t="s">
        <v>371</v>
      </c>
      <c r="B20" s="199">
        <v>540</v>
      </c>
      <c r="C20" s="199">
        <v>10479</v>
      </c>
      <c r="D20" s="200">
        <v>11019</v>
      </c>
      <c r="E20" s="199">
        <v>548</v>
      </c>
      <c r="F20" s="199">
        <v>10730</v>
      </c>
      <c r="G20" s="200">
        <v>11278</v>
      </c>
    </row>
    <row r="21" spans="1:15" ht="12.75" customHeight="1">
      <c r="A21" s="202" t="s">
        <v>372</v>
      </c>
      <c r="B21" s="199">
        <v>5119</v>
      </c>
      <c r="C21" s="199">
        <v>22180</v>
      </c>
      <c r="D21" s="200">
        <v>27299</v>
      </c>
      <c r="E21" s="199">
        <v>5119</v>
      </c>
      <c r="F21" s="199">
        <v>22389</v>
      </c>
      <c r="G21" s="200">
        <v>27508</v>
      </c>
    </row>
    <row r="22" spans="1:15" ht="12.75" customHeight="1">
      <c r="A22" s="202" t="s">
        <v>373</v>
      </c>
      <c r="B22" s="199">
        <v>247354034</v>
      </c>
      <c r="C22" s="199">
        <v>344853028</v>
      </c>
      <c r="D22" s="200">
        <v>592207062</v>
      </c>
      <c r="E22" s="199">
        <v>247354034</v>
      </c>
      <c r="F22" s="199">
        <v>454435335</v>
      </c>
      <c r="G22" s="200">
        <v>701789369</v>
      </c>
    </row>
    <row r="23" spans="1:15" ht="12.75" customHeight="1">
      <c r="A23" s="202" t="s">
        <v>374</v>
      </c>
      <c r="B23" s="199">
        <v>163522123</v>
      </c>
      <c r="C23" s="199">
        <v>215992347</v>
      </c>
      <c r="D23" s="200">
        <v>379514470</v>
      </c>
      <c r="E23" s="199">
        <v>163522123</v>
      </c>
      <c r="F23" s="199">
        <v>256363010</v>
      </c>
      <c r="G23" s="200">
        <v>419885133</v>
      </c>
    </row>
    <row r="24" spans="1:15" ht="12.75" customHeight="1">
      <c r="A24" s="202" t="s">
        <v>376</v>
      </c>
      <c r="B24" s="199">
        <v>142346956</v>
      </c>
      <c r="C24" s="199">
        <v>93889933</v>
      </c>
      <c r="D24" s="200">
        <v>236236889</v>
      </c>
      <c r="E24" s="199">
        <v>142346956</v>
      </c>
      <c r="F24" s="199">
        <v>238339933</v>
      </c>
      <c r="G24" s="200">
        <v>380686889</v>
      </c>
    </row>
    <row r="25" spans="1:15" ht="12.75" customHeight="1">
      <c r="A25" s="354" t="s">
        <v>368</v>
      </c>
      <c r="B25" s="353">
        <v>2019</v>
      </c>
      <c r="C25" s="353"/>
      <c r="D25" s="353"/>
      <c r="E25" s="353">
        <v>2020</v>
      </c>
      <c r="F25" s="353"/>
      <c r="G25" s="353"/>
    </row>
    <row r="26" spans="1:15" ht="12.75" customHeight="1">
      <c r="A26" s="354"/>
      <c r="B26" s="197" t="s">
        <v>369</v>
      </c>
      <c r="C26" s="197" t="s">
        <v>370</v>
      </c>
      <c r="D26" s="198" t="s">
        <v>0</v>
      </c>
      <c r="E26" s="197" t="s">
        <v>369</v>
      </c>
      <c r="F26" s="197" t="s">
        <v>370</v>
      </c>
      <c r="G26" s="198" t="s">
        <v>0</v>
      </c>
    </row>
    <row r="27" spans="1:15" ht="12.75" customHeight="1">
      <c r="A27" s="215">
        <v>1</v>
      </c>
      <c r="B27" s="214">
        <v>2</v>
      </c>
      <c r="C27" s="214">
        <v>3</v>
      </c>
      <c r="D27" s="214">
        <v>4</v>
      </c>
      <c r="E27" s="214">
        <v>2</v>
      </c>
      <c r="F27" s="214">
        <v>3</v>
      </c>
      <c r="G27" s="214">
        <v>4</v>
      </c>
    </row>
    <row r="28" spans="1:15" ht="12.75" customHeight="1">
      <c r="A28" s="202" t="s">
        <v>371</v>
      </c>
      <c r="B28" s="199">
        <v>549</v>
      </c>
      <c r="C28" s="199">
        <v>11054</v>
      </c>
      <c r="D28" s="200">
        <v>11603</v>
      </c>
      <c r="E28" s="199"/>
      <c r="F28" s="199"/>
      <c r="G28" s="200"/>
    </row>
    <row r="29" spans="1:15" ht="12.75" customHeight="1">
      <c r="A29" s="202" t="s">
        <v>372</v>
      </c>
      <c r="B29" s="199">
        <v>5602</v>
      </c>
      <c r="C29" s="199">
        <v>22992</v>
      </c>
      <c r="D29" s="224">
        <f>B29+C29</f>
        <v>28594</v>
      </c>
      <c r="E29" s="199"/>
      <c r="F29" s="199"/>
      <c r="G29" s="224"/>
    </row>
    <row r="30" spans="1:15" ht="12.75" customHeight="1">
      <c r="A30" s="202" t="s">
        <v>373</v>
      </c>
      <c r="B30" s="199">
        <f>E22+11034000</f>
        <v>258388034</v>
      </c>
      <c r="C30" s="199">
        <f>F22+109582307</f>
        <v>564017642</v>
      </c>
      <c r="D30" s="225">
        <f>B30+C30</f>
        <v>822405676</v>
      </c>
      <c r="E30" s="199"/>
      <c r="F30" s="199"/>
      <c r="G30" s="225"/>
    </row>
    <row r="31" spans="1:15" ht="12.75" customHeight="1">
      <c r="A31" s="202" t="s">
        <v>374</v>
      </c>
      <c r="B31" s="199">
        <f>E23+4965302</f>
        <v>168487425</v>
      </c>
      <c r="C31" s="199">
        <f>E23+3952800+90370663</f>
        <v>257845586</v>
      </c>
      <c r="D31" s="225">
        <f>B31+C31</f>
        <v>426333011</v>
      </c>
      <c r="E31" s="199"/>
      <c r="F31" s="199"/>
      <c r="G31" s="225"/>
    </row>
    <row r="32" spans="1:15" ht="12.75" customHeight="1">
      <c r="A32" s="202" t="s">
        <v>376</v>
      </c>
      <c r="B32" s="199">
        <f>E24</f>
        <v>142346956</v>
      </c>
      <c r="C32" s="199">
        <f>F24+144450000</f>
        <v>382789933</v>
      </c>
      <c r="D32" s="225">
        <f>B32+C32</f>
        <v>525136889</v>
      </c>
      <c r="E32" s="199"/>
      <c r="F32" s="199"/>
      <c r="G32" s="225"/>
    </row>
  </sheetData>
  <mergeCells count="12">
    <mergeCell ref="B25:D25"/>
    <mergeCell ref="E1:G1"/>
    <mergeCell ref="B1:D1"/>
    <mergeCell ref="A1:A2"/>
    <mergeCell ref="E17:G17"/>
    <mergeCell ref="B17:D17"/>
    <mergeCell ref="E9:G9"/>
    <mergeCell ref="B9:D9"/>
    <mergeCell ref="A9:A10"/>
    <mergeCell ref="A17:A18"/>
    <mergeCell ref="A25:A26"/>
    <mergeCell ref="E25:G25"/>
  </mergeCells>
  <pageMargins left="0.71" right="0.35433070866141736" top="0.74803149606299213" bottom="0.74803149606299213" header="0.31496062992125984" footer="0.31496062992125984"/>
  <pageSetup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D30"/>
  <sheetViews>
    <sheetView view="pageBreakPreview" zoomScale="93" zoomScaleSheetLayoutView="93" workbookViewId="0">
      <selection activeCell="I37" sqref="I37"/>
    </sheetView>
  </sheetViews>
  <sheetFormatPr defaultRowHeight="15"/>
  <cols>
    <col min="1" max="1" width="6.42578125" customWidth="1"/>
    <col min="2" max="2" width="9.42578125" bestFit="1" customWidth="1"/>
    <col min="3" max="4" width="10.5703125" bestFit="1" customWidth="1"/>
  </cols>
  <sheetData>
    <row r="3" spans="1:4">
      <c r="A3" s="356" t="s">
        <v>378</v>
      </c>
      <c r="B3" s="355" t="s">
        <v>379</v>
      </c>
      <c r="C3" s="355"/>
      <c r="D3" s="355"/>
    </row>
    <row r="4" spans="1:4">
      <c r="A4" s="356"/>
      <c r="B4" s="165" t="s">
        <v>369</v>
      </c>
      <c r="C4" s="165" t="s">
        <v>370</v>
      </c>
      <c r="D4" s="165" t="s">
        <v>0</v>
      </c>
    </row>
    <row r="5" spans="1:4">
      <c r="A5" s="2">
        <v>2018</v>
      </c>
      <c r="B5" s="106">
        <v>548</v>
      </c>
      <c r="C5" s="106">
        <v>10730</v>
      </c>
      <c r="D5" s="106">
        <v>11278</v>
      </c>
    </row>
    <row r="6" spans="1:4">
      <c r="A6" s="2">
        <v>2017</v>
      </c>
      <c r="B6" s="106">
        <v>540</v>
      </c>
      <c r="C6" s="106">
        <v>10479</v>
      </c>
      <c r="D6" s="106">
        <v>11019</v>
      </c>
    </row>
    <row r="7" spans="1:4">
      <c r="A7" s="2">
        <v>2016</v>
      </c>
      <c r="B7" s="106">
        <v>526</v>
      </c>
      <c r="C7" s="106">
        <v>10098</v>
      </c>
      <c r="D7" s="106">
        <v>10624</v>
      </c>
    </row>
    <row r="8" spans="1:4">
      <c r="A8" s="2">
        <v>2015</v>
      </c>
      <c r="B8" s="106">
        <v>516</v>
      </c>
      <c r="C8" s="106">
        <v>9179</v>
      </c>
      <c r="D8" s="106">
        <v>9695</v>
      </c>
    </row>
    <row r="9" spans="1:4">
      <c r="A9" s="2">
        <v>2014</v>
      </c>
      <c r="B9" s="106">
        <v>506</v>
      </c>
      <c r="C9" s="106">
        <v>9413</v>
      </c>
      <c r="D9" s="106">
        <v>9919</v>
      </c>
    </row>
    <row r="10" spans="1:4">
      <c r="A10" s="2">
        <v>2013</v>
      </c>
      <c r="B10" s="106">
        <v>494</v>
      </c>
      <c r="C10" s="106">
        <v>9336</v>
      </c>
      <c r="D10" s="106">
        <v>9830</v>
      </c>
    </row>
    <row r="11" spans="1:4">
      <c r="A11" s="194" t="s">
        <v>191</v>
      </c>
      <c r="B11" s="168">
        <f>SUM(B5:B10)</f>
        <v>3130</v>
      </c>
      <c r="C11" s="168">
        <f t="shared" ref="C11:D11" si="0">SUM(C5:C10)</f>
        <v>59235</v>
      </c>
      <c r="D11" s="168">
        <f t="shared" si="0"/>
        <v>62365</v>
      </c>
    </row>
    <row r="12" spans="1:4">
      <c r="A12" s="194" t="s">
        <v>377</v>
      </c>
      <c r="B12" s="168">
        <f>B11/6</f>
        <v>521.66666666666663</v>
      </c>
      <c r="C12" s="168">
        <f t="shared" ref="C12:D12" si="1">C11/6</f>
        <v>9872.5</v>
      </c>
      <c r="D12" s="168">
        <f t="shared" si="1"/>
        <v>10394.166666666666</v>
      </c>
    </row>
    <row r="20" spans="1:4">
      <c r="A20" s="357" t="s">
        <v>378</v>
      </c>
      <c r="B20" s="359" t="s">
        <v>380</v>
      </c>
      <c r="C20" s="360"/>
      <c r="D20" s="361"/>
    </row>
    <row r="21" spans="1:4">
      <c r="A21" s="358"/>
      <c r="B21" s="169" t="s">
        <v>369</v>
      </c>
      <c r="C21" s="169" t="s">
        <v>370</v>
      </c>
      <c r="D21" s="169" t="s">
        <v>0</v>
      </c>
    </row>
    <row r="22" spans="1:4">
      <c r="A22" s="195">
        <v>2019</v>
      </c>
      <c r="B22" s="196"/>
      <c r="C22" s="196"/>
      <c r="D22" s="196"/>
    </row>
    <row r="23" spans="1:4">
      <c r="A23" s="2">
        <v>2018</v>
      </c>
      <c r="B23" s="166">
        <v>5119</v>
      </c>
      <c r="C23" s="166">
        <v>22389</v>
      </c>
      <c r="D23" s="166">
        <v>27508</v>
      </c>
    </row>
    <row r="24" spans="1:4">
      <c r="A24" s="2">
        <v>2017</v>
      </c>
      <c r="B24" s="166">
        <v>5119</v>
      </c>
      <c r="C24" s="166">
        <v>22180</v>
      </c>
      <c r="D24" s="166">
        <v>27299</v>
      </c>
    </row>
    <row r="25" spans="1:4">
      <c r="A25" s="2">
        <v>2016</v>
      </c>
      <c r="B25" s="166">
        <v>5119</v>
      </c>
      <c r="C25" s="166">
        <v>20865</v>
      </c>
      <c r="D25" s="166">
        <v>25984</v>
      </c>
    </row>
    <row r="26" spans="1:4">
      <c r="A26" s="2">
        <v>2015</v>
      </c>
      <c r="B26" s="166">
        <v>4969</v>
      </c>
      <c r="C26" s="166">
        <v>19550</v>
      </c>
      <c r="D26" s="166">
        <v>24519</v>
      </c>
    </row>
    <row r="27" spans="1:4">
      <c r="A27" s="2">
        <v>2014</v>
      </c>
      <c r="B27" s="166">
        <v>4904</v>
      </c>
      <c r="C27" s="166">
        <v>18604</v>
      </c>
      <c r="D27" s="166">
        <v>23508</v>
      </c>
    </row>
    <row r="28" spans="1:4">
      <c r="A28" s="2">
        <v>2013</v>
      </c>
      <c r="B28" s="166">
        <v>4826</v>
      </c>
      <c r="C28" s="166">
        <v>18200</v>
      </c>
      <c r="D28" s="166">
        <v>23026</v>
      </c>
    </row>
    <row r="29" spans="1:4">
      <c r="A29" s="194" t="s">
        <v>191</v>
      </c>
      <c r="B29" s="167">
        <f>SUM(B23:B28)</f>
        <v>30056</v>
      </c>
      <c r="C29" s="167">
        <f t="shared" ref="C29:D29" si="2">SUM(C23:C28)</f>
        <v>121788</v>
      </c>
      <c r="D29" s="167">
        <f t="shared" si="2"/>
        <v>151844</v>
      </c>
    </row>
    <row r="30" spans="1:4">
      <c r="A30" s="194" t="s">
        <v>377</v>
      </c>
      <c r="B30" s="167">
        <f>B29/6</f>
        <v>5009.333333333333</v>
      </c>
      <c r="C30" s="167">
        <f t="shared" ref="C30:D30" si="3">C29/6</f>
        <v>20298</v>
      </c>
      <c r="D30" s="167">
        <f t="shared" si="3"/>
        <v>25307.333333333332</v>
      </c>
    </row>
  </sheetData>
  <mergeCells count="4">
    <mergeCell ref="B3:D3"/>
    <mergeCell ref="A3:A4"/>
    <mergeCell ref="A20:A21"/>
    <mergeCell ref="B20:D20"/>
  </mergeCells>
  <pageMargins left="0.70866141732283472" right="0.70866141732283472" top="0.74803149606299213" bottom="0.74803149606299213" header="0.31496062992125984" footer="0.31496062992125984"/>
  <pageSetup scale="95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"/>
  <sheetViews>
    <sheetView workbookViewId="0">
      <selection activeCell="C16" sqref="C16"/>
    </sheetView>
  </sheetViews>
  <sheetFormatPr defaultRowHeight="15"/>
  <cols>
    <col min="4" max="4" width="13" customWidth="1"/>
  </cols>
  <sheetData>
    <row r="1" spans="1:9" ht="45">
      <c r="A1" s="227" t="s">
        <v>451</v>
      </c>
      <c r="B1" s="228" t="s">
        <v>453</v>
      </c>
      <c r="C1" s="227" t="s">
        <v>450</v>
      </c>
      <c r="D1" s="229" t="s">
        <v>452</v>
      </c>
      <c r="E1" s="226"/>
      <c r="F1" s="226"/>
      <c r="G1" s="226"/>
      <c r="H1" s="226"/>
      <c r="I1" s="226"/>
    </row>
    <row r="2" spans="1:9">
      <c r="A2" s="102">
        <v>2000</v>
      </c>
      <c r="B2" s="230">
        <v>3222.02</v>
      </c>
      <c r="C2" s="102">
        <v>18.96</v>
      </c>
      <c r="D2" s="166">
        <f>(B2/C2)*100</f>
        <v>16993.776371308017</v>
      </c>
    </row>
    <row r="3" spans="1:9">
      <c r="A3" s="102">
        <v>2001</v>
      </c>
      <c r="B3" s="230">
        <v>3381.89</v>
      </c>
      <c r="C3" s="102">
        <v>19.829999999999998</v>
      </c>
      <c r="D3" s="166">
        <f t="shared" ref="D3:D12" si="0">(B3/C3)*100</f>
        <v>17054.412506303579</v>
      </c>
    </row>
    <row r="4" spans="1:9">
      <c r="A4" s="102">
        <v>2002</v>
      </c>
      <c r="B4" s="230">
        <v>3398.73</v>
      </c>
      <c r="C4" s="102">
        <v>20.82</v>
      </c>
      <c r="D4" s="166">
        <f t="shared" si="0"/>
        <v>16324.351585014409</v>
      </c>
    </row>
    <row r="5" spans="1:9">
      <c r="A5" s="102">
        <v>2003</v>
      </c>
      <c r="B5" s="230">
        <v>3537.45</v>
      </c>
      <c r="C5" s="102">
        <v>22.02</v>
      </c>
      <c r="D5" s="166">
        <f t="shared" si="0"/>
        <v>16064.713896457766</v>
      </c>
    </row>
    <row r="6" spans="1:9">
      <c r="A6" s="102">
        <v>2004</v>
      </c>
      <c r="B6" s="230">
        <v>3725.21</v>
      </c>
      <c r="C6" s="102">
        <v>23.62</v>
      </c>
      <c r="D6" s="166">
        <f t="shared" si="0"/>
        <v>15771.422523285351</v>
      </c>
    </row>
    <row r="7" spans="1:9">
      <c r="A7" s="102">
        <v>2005</v>
      </c>
      <c r="B7" s="230">
        <v>3842.15</v>
      </c>
      <c r="C7" s="102">
        <v>25.27</v>
      </c>
      <c r="D7" s="166">
        <f t="shared" si="0"/>
        <v>15204.392560348238</v>
      </c>
    </row>
    <row r="8" spans="1:9">
      <c r="A8" s="102">
        <v>2006</v>
      </c>
      <c r="B8" s="230">
        <v>4095.43</v>
      </c>
      <c r="C8" s="102">
        <v>27.23</v>
      </c>
      <c r="D8" s="166">
        <f t="shared" si="0"/>
        <v>15040.139551964745</v>
      </c>
    </row>
    <row r="9" spans="1:9">
      <c r="A9" s="102">
        <v>2007</v>
      </c>
      <c r="B9" s="230">
        <v>4344.5600000000004</v>
      </c>
      <c r="C9" s="102">
        <v>29.35</v>
      </c>
      <c r="D9" s="166">
        <f t="shared" si="0"/>
        <v>14802.589437819421</v>
      </c>
    </row>
    <row r="10" spans="1:9">
      <c r="A10" s="102">
        <v>2008</v>
      </c>
      <c r="B10" s="230">
        <v>4514.29</v>
      </c>
      <c r="C10" s="102">
        <v>31.37</v>
      </c>
      <c r="D10" s="166">
        <f t="shared" si="0"/>
        <v>14390.468600573797</v>
      </c>
    </row>
    <row r="11" spans="1:9">
      <c r="A11" s="102">
        <v>2009</v>
      </c>
      <c r="B11" s="230">
        <v>4591.6000000000004</v>
      </c>
      <c r="C11" s="102">
        <v>33.43</v>
      </c>
      <c r="D11" s="166">
        <f t="shared" si="0"/>
        <v>13734.968591085852</v>
      </c>
    </row>
    <row r="12" spans="1:9">
      <c r="A12" s="102">
        <v>2010</v>
      </c>
      <c r="B12" s="230">
        <v>4792.16</v>
      </c>
      <c r="C12" s="102">
        <v>35.82</v>
      </c>
      <c r="D12" s="166">
        <f t="shared" si="0"/>
        <v>13378.447794528196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4"/>
  <sheetViews>
    <sheetView topLeftCell="A19" zoomScale="154" zoomScaleNormal="154" workbookViewId="0">
      <selection activeCell="B24" sqref="B24:D28"/>
    </sheetView>
  </sheetViews>
  <sheetFormatPr defaultRowHeight="15"/>
  <cols>
    <col min="1" max="1" width="32.42578125" customWidth="1"/>
    <col min="2" max="2" width="12.140625" customWidth="1"/>
    <col min="3" max="3" width="12.5703125" customWidth="1"/>
    <col min="4" max="4" width="13.28515625" customWidth="1"/>
    <col min="5" max="6" width="13.28515625" bestFit="1" customWidth="1"/>
    <col min="9" max="9" width="13.5703125" customWidth="1"/>
    <col min="10" max="10" width="14" customWidth="1"/>
  </cols>
  <sheetData>
    <row r="1" spans="1:10">
      <c r="A1" s="363" t="s">
        <v>368</v>
      </c>
      <c r="B1" s="362">
        <v>2019</v>
      </c>
      <c r="C1" s="362"/>
      <c r="D1" s="362"/>
    </row>
    <row r="2" spans="1:10">
      <c r="A2" s="363"/>
      <c r="B2" s="102" t="s">
        <v>369</v>
      </c>
      <c r="C2" s="102" t="s">
        <v>370</v>
      </c>
      <c r="D2" s="102" t="s">
        <v>0</v>
      </c>
    </row>
    <row r="3" spans="1:10" ht="11.25" customHeight="1">
      <c r="A3" s="236">
        <v>1</v>
      </c>
      <c r="B3" s="236">
        <v>2</v>
      </c>
      <c r="C3" s="236">
        <v>3</v>
      </c>
      <c r="D3" s="236">
        <v>4</v>
      </c>
      <c r="G3" t="s">
        <v>455</v>
      </c>
      <c r="I3" t="s">
        <v>454</v>
      </c>
    </row>
    <row r="4" spans="1:10">
      <c r="A4" t="s">
        <v>371</v>
      </c>
      <c r="B4" s="235">
        <v>549</v>
      </c>
      <c r="C4" s="235">
        <v>11054</v>
      </c>
      <c r="D4" s="235">
        <v>11603</v>
      </c>
      <c r="F4" s="231">
        <v>1356</v>
      </c>
      <c r="G4">
        <v>123</v>
      </c>
      <c r="H4" s="193">
        <f>F4-G4</f>
        <v>1233</v>
      </c>
      <c r="I4" s="231">
        <v>47</v>
      </c>
      <c r="J4" s="231">
        <v>3993</v>
      </c>
    </row>
    <row r="5" spans="1:10">
      <c r="A5" t="s">
        <v>372</v>
      </c>
      <c r="B5" s="145">
        <v>5602</v>
      </c>
      <c r="C5" s="145">
        <v>22992</v>
      </c>
      <c r="D5" s="145">
        <v>28594</v>
      </c>
      <c r="F5" s="231">
        <v>14842.199999999999</v>
      </c>
      <c r="G5">
        <v>970</v>
      </c>
      <c r="H5" s="193">
        <f>F5-G5</f>
        <v>13872.199999999999</v>
      </c>
      <c r="I5" s="231">
        <v>589</v>
      </c>
      <c r="J5" s="231">
        <v>8391</v>
      </c>
    </row>
    <row r="6" spans="1:10">
      <c r="A6" t="s">
        <v>373</v>
      </c>
      <c r="B6" s="145">
        <v>258388034</v>
      </c>
      <c r="C6" s="145">
        <v>564017642</v>
      </c>
      <c r="D6" s="145">
        <v>822405676</v>
      </c>
      <c r="F6" s="231">
        <v>456395</v>
      </c>
      <c r="G6">
        <v>30343734</v>
      </c>
      <c r="I6" s="231">
        <v>1468040</v>
      </c>
      <c r="J6" s="231">
        <v>17921500</v>
      </c>
    </row>
    <row r="7" spans="1:10">
      <c r="A7" t="s">
        <v>374</v>
      </c>
      <c r="B7" s="145">
        <v>168487425</v>
      </c>
      <c r="C7" s="145">
        <v>257845586</v>
      </c>
      <c r="D7" s="145">
        <v>426333011</v>
      </c>
      <c r="F7" s="231">
        <v>203022127.37302178</v>
      </c>
      <c r="I7" s="231">
        <v>147036125.88267526</v>
      </c>
      <c r="J7" s="231">
        <v>156452846.36389685</v>
      </c>
    </row>
    <row r="8" spans="1:10">
      <c r="A8" t="s">
        <v>376</v>
      </c>
      <c r="B8" s="145">
        <v>142346956</v>
      </c>
      <c r="C8" s="145">
        <v>382789933</v>
      </c>
      <c r="D8" s="145">
        <v>525136889</v>
      </c>
    </row>
    <row r="9" spans="1:10">
      <c r="A9" t="s">
        <v>457</v>
      </c>
    </row>
    <row r="10" spans="1:10">
      <c r="A10" s="364" t="s">
        <v>368</v>
      </c>
      <c r="B10" s="362">
        <v>2019</v>
      </c>
      <c r="C10" s="362"/>
      <c r="D10" s="362"/>
    </row>
    <row r="11" spans="1:10">
      <c r="A11" s="364"/>
      <c r="B11" s="102" t="s">
        <v>369</v>
      </c>
      <c r="C11" s="102" t="s">
        <v>370</v>
      </c>
      <c r="D11" s="102" t="s">
        <v>0</v>
      </c>
    </row>
    <row r="12" spans="1:10" ht="9.75" customHeight="1">
      <c r="A12" s="237">
        <v>1</v>
      </c>
      <c r="B12" s="237">
        <v>2</v>
      </c>
      <c r="C12" s="237">
        <v>3</v>
      </c>
      <c r="D12" s="237">
        <v>4</v>
      </c>
    </row>
    <row r="13" spans="1:10">
      <c r="A13" s="184" t="s">
        <v>371</v>
      </c>
      <c r="B13" s="232">
        <v>423</v>
      </c>
      <c r="C13" s="232">
        <f>9713+300</f>
        <v>10013</v>
      </c>
      <c r="D13" s="232">
        <f>B13+C13</f>
        <v>10436</v>
      </c>
    </row>
    <row r="14" spans="1:10">
      <c r="A14" s="184" t="s">
        <v>372</v>
      </c>
      <c r="B14" s="232">
        <f>4149+400</f>
        <v>4549</v>
      </c>
      <c r="C14" s="232">
        <f>20347+500</f>
        <v>20847</v>
      </c>
      <c r="D14" s="232">
        <f t="shared" ref="D14:D17" si="0">B14+C14</f>
        <v>25396</v>
      </c>
    </row>
    <row r="15" spans="1:10">
      <c r="A15" s="184" t="s">
        <v>373</v>
      </c>
      <c r="B15" s="232">
        <f>217010300+11000000</f>
        <v>228010300</v>
      </c>
      <c r="C15" s="232">
        <f>323980144+100000000</f>
        <v>423980144</v>
      </c>
      <c r="D15" s="232">
        <f t="shared" si="0"/>
        <v>651990444</v>
      </c>
    </row>
    <row r="16" spans="1:10">
      <c r="A16" s="184" t="s">
        <v>374</v>
      </c>
      <c r="B16" s="232">
        <f>148187115+4000000</f>
        <v>152187115</v>
      </c>
      <c r="C16" s="232">
        <f>204496890+1000000</f>
        <v>205496890</v>
      </c>
      <c r="D16" s="232">
        <f t="shared" si="0"/>
        <v>357684005</v>
      </c>
    </row>
    <row r="17" spans="1:4">
      <c r="A17" s="184" t="s">
        <v>456</v>
      </c>
      <c r="B17" s="232">
        <v>126004996</v>
      </c>
      <c r="C17" s="232">
        <f>82449987+100000000</f>
        <v>182449987</v>
      </c>
      <c r="D17" s="232">
        <f t="shared" si="0"/>
        <v>308454983</v>
      </c>
    </row>
    <row r="18" spans="1:4">
      <c r="A18" s="234"/>
      <c r="B18" s="233">
        <f t="shared" ref="B18:C20" si="1">B4-B30</f>
        <v>0</v>
      </c>
      <c r="C18" s="233">
        <f t="shared" si="1"/>
        <v>0</v>
      </c>
      <c r="D18" s="233"/>
    </row>
    <row r="19" spans="1:4">
      <c r="A19" s="234"/>
      <c r="B19" s="233">
        <f t="shared" si="1"/>
        <v>0</v>
      </c>
      <c r="C19" s="233">
        <f t="shared" si="1"/>
        <v>0</v>
      </c>
      <c r="D19" s="233"/>
    </row>
    <row r="20" spans="1:4">
      <c r="A20" s="234"/>
      <c r="B20" s="233">
        <f t="shared" si="1"/>
        <v>0</v>
      </c>
      <c r="C20" s="233">
        <f t="shared" si="1"/>
        <v>0</v>
      </c>
      <c r="D20" s="233"/>
    </row>
    <row r="21" spans="1:4">
      <c r="A21" s="364" t="s">
        <v>368</v>
      </c>
      <c r="B21" s="362">
        <v>2019</v>
      </c>
      <c r="C21" s="362"/>
      <c r="D21" s="362"/>
    </row>
    <row r="22" spans="1:4">
      <c r="A22" s="364"/>
      <c r="B22" s="102" t="s">
        <v>369</v>
      </c>
      <c r="C22" s="102" t="s">
        <v>370</v>
      </c>
      <c r="D22" s="102" t="s">
        <v>0</v>
      </c>
    </row>
    <row r="23" spans="1:4" ht="9.75" customHeight="1">
      <c r="A23" s="237">
        <v>1</v>
      </c>
      <c r="B23" s="237">
        <v>2</v>
      </c>
      <c r="C23" s="237">
        <v>3</v>
      </c>
      <c r="D23" s="237">
        <v>4</v>
      </c>
    </row>
    <row r="24" spans="1:4">
      <c r="A24" s="184" t="s">
        <v>371</v>
      </c>
      <c r="B24" s="232">
        <v>126</v>
      </c>
      <c r="C24" s="232">
        <f>961+80</f>
        <v>1041</v>
      </c>
      <c r="D24" s="232">
        <f>B24+C24</f>
        <v>1167</v>
      </c>
    </row>
    <row r="25" spans="1:4">
      <c r="A25" s="184" t="s">
        <v>372</v>
      </c>
      <c r="B25" s="232">
        <f>970+83</f>
        <v>1053</v>
      </c>
      <c r="C25" s="232">
        <f>2042+103</f>
        <v>2145</v>
      </c>
      <c r="D25" s="232">
        <f t="shared" ref="D25:D28" si="2">B25+C25</f>
        <v>3198</v>
      </c>
    </row>
    <row r="26" spans="1:4">
      <c r="A26" s="184" t="s">
        <v>373</v>
      </c>
      <c r="B26" s="232">
        <f>30343734+34000</f>
        <v>30377734</v>
      </c>
      <c r="C26" s="232">
        <f>130455191+9582307</f>
        <v>140037498</v>
      </c>
      <c r="D26" s="232">
        <f t="shared" si="2"/>
        <v>170415232</v>
      </c>
    </row>
    <row r="27" spans="1:4">
      <c r="A27" s="184" t="s">
        <v>374</v>
      </c>
      <c r="B27" s="232">
        <f>15335008+965302</f>
        <v>16300310</v>
      </c>
      <c r="C27" s="232">
        <f>51866120+482576</f>
        <v>52348696</v>
      </c>
      <c r="D27" s="232">
        <f t="shared" si="2"/>
        <v>68649006</v>
      </c>
    </row>
    <row r="28" spans="1:4">
      <c r="A28" s="184" t="s">
        <v>456</v>
      </c>
      <c r="B28" s="232">
        <v>16341960</v>
      </c>
      <c r="C28" s="232">
        <f>155889946+44450000</f>
        <v>200339946</v>
      </c>
      <c r="D28" s="232">
        <f t="shared" si="2"/>
        <v>216681906</v>
      </c>
    </row>
    <row r="30" spans="1:4">
      <c r="B30" s="193">
        <f>B13+B24</f>
        <v>549</v>
      </c>
      <c r="C30" s="193">
        <f t="shared" ref="C30:D30" si="3">C13+C24</f>
        <v>11054</v>
      </c>
      <c r="D30" s="193">
        <f t="shared" si="3"/>
        <v>11603</v>
      </c>
    </row>
    <row r="31" spans="1:4">
      <c r="B31" s="193">
        <f>B14+B25</f>
        <v>5602</v>
      </c>
      <c r="C31" s="193">
        <f t="shared" ref="C31:D31" si="4">C14+C25</f>
        <v>22992</v>
      </c>
      <c r="D31" s="193">
        <f t="shared" si="4"/>
        <v>28594</v>
      </c>
    </row>
    <row r="32" spans="1:4">
      <c r="B32" s="193">
        <f>B15+B26</f>
        <v>258388034</v>
      </c>
      <c r="C32" s="193">
        <f t="shared" ref="C32:D32" si="5">C15+C26</f>
        <v>564017642</v>
      </c>
      <c r="D32" s="193">
        <f t="shared" si="5"/>
        <v>822405676</v>
      </c>
    </row>
    <row r="33" spans="2:4">
      <c r="B33" s="193">
        <f>B16+B27</f>
        <v>168487425</v>
      </c>
      <c r="C33" s="193">
        <f t="shared" ref="C33:D33" si="6">C16+C27</f>
        <v>257845586</v>
      </c>
      <c r="D33" s="193">
        <f t="shared" si="6"/>
        <v>426333011</v>
      </c>
    </row>
    <row r="34" spans="2:4">
      <c r="B34" s="193">
        <f>B17+B28</f>
        <v>142346956</v>
      </c>
      <c r="C34" s="193">
        <f t="shared" ref="C34:D34" si="7">C17+C28</f>
        <v>382789933</v>
      </c>
      <c r="D34" s="193">
        <f t="shared" si="7"/>
        <v>525136889</v>
      </c>
    </row>
  </sheetData>
  <mergeCells count="6">
    <mergeCell ref="B1:D1"/>
    <mergeCell ref="A1:A2"/>
    <mergeCell ref="A10:A11"/>
    <mergeCell ref="B10:D10"/>
    <mergeCell ref="A21:A22"/>
    <mergeCell ref="B21:D21"/>
  </mergeCells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"/>
  <sheetViews>
    <sheetView workbookViewId="0">
      <selection activeCell="H20" sqref="H20"/>
    </sheetView>
  </sheetViews>
  <sheetFormatPr defaultRowHeight="15"/>
  <sheetData>
    <row r="1" spans="1:4" ht="24" customHeight="1" thickBot="1">
      <c r="A1" s="365" t="s">
        <v>458</v>
      </c>
      <c r="B1" s="367" t="s">
        <v>459</v>
      </c>
      <c r="C1" s="369" t="s">
        <v>460</v>
      </c>
      <c r="D1" s="370"/>
    </row>
    <row r="2" spans="1:4" ht="25.5" thickBot="1">
      <c r="A2" s="366"/>
      <c r="B2" s="368"/>
      <c r="C2" s="240" t="s">
        <v>394</v>
      </c>
      <c r="D2" s="240" t="s">
        <v>461</v>
      </c>
    </row>
    <row r="3" spans="1:4" ht="15.75" thickBot="1">
      <c r="A3" s="241" t="s">
        <v>13</v>
      </c>
      <c r="B3" s="242">
        <v>36</v>
      </c>
      <c r="C3" s="242">
        <v>26</v>
      </c>
      <c r="D3" s="242">
        <v>5</v>
      </c>
    </row>
    <row r="4" spans="1:4" ht="15.75" thickBot="1">
      <c r="A4" s="241" t="s">
        <v>29</v>
      </c>
      <c r="B4" s="242">
        <v>37</v>
      </c>
      <c r="C4" s="242">
        <v>23</v>
      </c>
      <c r="D4" s="242">
        <v>9</v>
      </c>
    </row>
    <row r="5" spans="1:4" ht="15.75" thickBot="1">
      <c r="A5" s="241" t="s">
        <v>38</v>
      </c>
      <c r="B5" s="242">
        <v>6</v>
      </c>
      <c r="C5" s="242">
        <v>0</v>
      </c>
      <c r="D5" s="242">
        <v>6</v>
      </c>
    </row>
    <row r="6" spans="1:4" ht="15.75" thickBot="1">
      <c r="A6" s="241" t="s">
        <v>22</v>
      </c>
      <c r="B6" s="242">
        <v>18</v>
      </c>
      <c r="C6" s="242">
        <v>5</v>
      </c>
      <c r="D6" s="242">
        <v>13</v>
      </c>
    </row>
    <row r="7" spans="1:4" ht="15.75" thickBot="1">
      <c r="A7" s="241" t="s">
        <v>26</v>
      </c>
      <c r="B7" s="242">
        <v>12</v>
      </c>
      <c r="C7" s="242">
        <v>5</v>
      </c>
      <c r="D7" s="242">
        <v>7</v>
      </c>
    </row>
    <row r="8" spans="1:4" ht="15.75" thickBot="1">
      <c r="A8" s="241" t="s">
        <v>18</v>
      </c>
      <c r="B8" s="242">
        <v>30</v>
      </c>
      <c r="C8" s="242">
        <v>14</v>
      </c>
      <c r="D8" s="242">
        <v>16</v>
      </c>
    </row>
    <row r="9" spans="1:4" ht="15.75" thickBot="1">
      <c r="A9" s="241" t="s">
        <v>44</v>
      </c>
      <c r="B9" s="242">
        <v>60</v>
      </c>
      <c r="C9" s="242">
        <v>30</v>
      </c>
      <c r="D9" s="242">
        <v>30</v>
      </c>
    </row>
    <row r="10" spans="1:4" ht="15.75" thickBot="1">
      <c r="A10" s="241" t="s">
        <v>34</v>
      </c>
      <c r="B10" s="242">
        <v>17</v>
      </c>
      <c r="C10" s="242">
        <v>5</v>
      </c>
      <c r="D10" s="242">
        <v>12</v>
      </c>
    </row>
    <row r="11" spans="1:4" ht="15.75" thickBot="1">
      <c r="A11" s="241" t="s">
        <v>9</v>
      </c>
      <c r="B11" s="242">
        <v>23</v>
      </c>
      <c r="C11" s="242">
        <v>22</v>
      </c>
      <c r="D11" s="242">
        <v>1</v>
      </c>
    </row>
    <row r="12" spans="1:4" ht="26.25" thickBot="1">
      <c r="A12" s="243" t="s">
        <v>48</v>
      </c>
      <c r="B12" s="242">
        <v>8</v>
      </c>
      <c r="C12" s="242">
        <v>0</v>
      </c>
      <c r="D12" s="242">
        <v>8</v>
      </c>
    </row>
    <row r="13" spans="1:4" ht="15.75" thickBot="1">
      <c r="A13" s="244" t="s">
        <v>45</v>
      </c>
      <c r="B13" s="245">
        <v>231</v>
      </c>
      <c r="C13" s="245">
        <v>138</v>
      </c>
      <c r="D13" s="245">
        <v>93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2"/>
  <sheetViews>
    <sheetView workbookViewId="0">
      <selection activeCell="G35" sqref="G35"/>
    </sheetView>
  </sheetViews>
  <sheetFormatPr defaultRowHeight="15"/>
  <cols>
    <col min="1" max="1" width="5.7109375" customWidth="1"/>
    <col min="2" max="2" width="16.7109375" customWidth="1"/>
    <col min="3" max="3" width="17" customWidth="1"/>
    <col min="7" max="7" width="32.7109375" customWidth="1"/>
  </cols>
  <sheetData>
    <row r="1" spans="1:7" ht="15.75">
      <c r="A1" s="301" t="s">
        <v>434</v>
      </c>
      <c r="B1" s="301"/>
      <c r="C1" s="301"/>
      <c r="D1" s="301"/>
      <c r="E1" s="301"/>
      <c r="F1" s="301"/>
      <c r="G1" s="301"/>
    </row>
    <row r="2" spans="1:7">
      <c r="A2" s="298" t="s">
        <v>1</v>
      </c>
      <c r="B2" s="298" t="s">
        <v>388</v>
      </c>
      <c r="C2" s="298" t="s">
        <v>389</v>
      </c>
      <c r="D2" s="302" t="s">
        <v>390</v>
      </c>
      <c r="E2" s="303"/>
      <c r="F2" s="304"/>
      <c r="G2" s="298" t="s">
        <v>391</v>
      </c>
    </row>
    <row r="3" spans="1:7">
      <c r="A3" s="299"/>
      <c r="B3" s="299"/>
      <c r="C3" s="299"/>
      <c r="D3" s="298" t="s">
        <v>392</v>
      </c>
      <c r="E3" s="302" t="s">
        <v>393</v>
      </c>
      <c r="F3" s="304"/>
      <c r="G3" s="299"/>
    </row>
    <row r="4" spans="1:7">
      <c r="A4" s="300"/>
      <c r="B4" s="300"/>
      <c r="C4" s="300"/>
      <c r="D4" s="300"/>
      <c r="E4" s="219" t="s">
        <v>394</v>
      </c>
      <c r="F4" s="219" t="s">
        <v>395</v>
      </c>
      <c r="G4" s="300"/>
    </row>
    <row r="5" spans="1:7">
      <c r="A5" s="289">
        <v>1</v>
      </c>
      <c r="B5" s="292" t="s">
        <v>13</v>
      </c>
      <c r="C5" s="98" t="s">
        <v>396</v>
      </c>
      <c r="D5" s="239">
        <v>5</v>
      </c>
      <c r="E5" s="239">
        <v>0</v>
      </c>
      <c r="F5" s="239">
        <v>5</v>
      </c>
      <c r="G5" s="98" t="s">
        <v>397</v>
      </c>
    </row>
    <row r="6" spans="1:7">
      <c r="A6" s="290"/>
      <c r="B6" s="293"/>
      <c r="C6" s="98" t="s">
        <v>13</v>
      </c>
      <c r="D6" s="196">
        <v>5</v>
      </c>
      <c r="E6" s="196">
        <v>5</v>
      </c>
      <c r="F6" s="196">
        <v>0</v>
      </c>
      <c r="G6" s="246" t="s">
        <v>398</v>
      </c>
    </row>
    <row r="7" spans="1:7">
      <c r="A7" s="291"/>
      <c r="B7" s="294"/>
      <c r="C7" s="98" t="s">
        <v>13</v>
      </c>
      <c r="D7" s="239">
        <v>26</v>
      </c>
      <c r="E7" s="239">
        <v>26</v>
      </c>
      <c r="F7" s="239">
        <v>0</v>
      </c>
      <c r="G7" s="98" t="s">
        <v>398</v>
      </c>
    </row>
    <row r="8" spans="1:7">
      <c r="A8" s="290"/>
      <c r="B8" s="293" t="s">
        <v>29</v>
      </c>
      <c r="C8" s="98" t="s">
        <v>400</v>
      </c>
      <c r="D8" s="239">
        <v>9</v>
      </c>
      <c r="E8" s="239">
        <v>1</v>
      </c>
      <c r="F8" s="239">
        <v>8</v>
      </c>
      <c r="G8" s="98" t="s">
        <v>401</v>
      </c>
    </row>
    <row r="9" spans="1:7">
      <c r="A9" s="290"/>
      <c r="B9" s="293"/>
      <c r="C9" s="98" t="s">
        <v>399</v>
      </c>
      <c r="D9" s="196">
        <v>5</v>
      </c>
      <c r="E9" s="196">
        <v>0</v>
      </c>
      <c r="F9" s="196">
        <v>5</v>
      </c>
      <c r="G9" s="246" t="s">
        <v>448</v>
      </c>
    </row>
    <row r="10" spans="1:7">
      <c r="A10" s="291"/>
      <c r="B10" s="294"/>
      <c r="C10" s="98" t="s">
        <v>402</v>
      </c>
      <c r="D10" s="239">
        <v>18</v>
      </c>
      <c r="E10" s="239">
        <v>16</v>
      </c>
      <c r="F10" s="239">
        <v>2</v>
      </c>
      <c r="G10" s="98" t="s">
        <v>403</v>
      </c>
    </row>
    <row r="11" spans="1:7">
      <c r="A11" s="239">
        <v>3</v>
      </c>
      <c r="B11" s="98" t="s">
        <v>38</v>
      </c>
      <c r="C11" s="98" t="s">
        <v>404</v>
      </c>
      <c r="D11" s="239">
        <v>6</v>
      </c>
      <c r="E11" s="239">
        <v>5</v>
      </c>
      <c r="F11" s="239">
        <v>1</v>
      </c>
      <c r="G11" s="98" t="s">
        <v>405</v>
      </c>
    </row>
    <row r="12" spans="1:7">
      <c r="A12" s="289">
        <v>4</v>
      </c>
      <c r="B12" s="292" t="s">
        <v>22</v>
      </c>
      <c r="C12" s="98" t="s">
        <v>406</v>
      </c>
      <c r="D12" s="239">
        <v>6</v>
      </c>
      <c r="E12" s="239">
        <v>5</v>
      </c>
      <c r="F12" s="239">
        <v>1</v>
      </c>
      <c r="G12" s="98" t="s">
        <v>407</v>
      </c>
    </row>
    <row r="13" spans="1:7">
      <c r="A13" s="290"/>
      <c r="B13" s="293"/>
      <c r="C13" s="98" t="s">
        <v>406</v>
      </c>
      <c r="D13" s="239">
        <v>5</v>
      </c>
      <c r="E13" s="239">
        <v>0</v>
      </c>
      <c r="F13" s="239">
        <v>5</v>
      </c>
      <c r="G13" s="98" t="s">
        <v>407</v>
      </c>
    </row>
    <row r="14" spans="1:7">
      <c r="A14" s="291"/>
      <c r="B14" s="294"/>
      <c r="C14" s="98" t="s">
        <v>408</v>
      </c>
      <c r="D14" s="239">
        <v>7</v>
      </c>
      <c r="E14" s="239">
        <v>0</v>
      </c>
      <c r="F14" s="239">
        <v>7</v>
      </c>
      <c r="G14" s="98" t="s">
        <v>409</v>
      </c>
    </row>
    <row r="15" spans="1:7">
      <c r="A15" s="289">
        <v>5</v>
      </c>
      <c r="B15" s="292" t="s">
        <v>26</v>
      </c>
      <c r="C15" s="98" t="s">
        <v>410</v>
      </c>
      <c r="D15" s="239">
        <v>5</v>
      </c>
      <c r="E15" s="239">
        <v>0</v>
      </c>
      <c r="F15" s="239">
        <v>5</v>
      </c>
      <c r="G15" s="98" t="s">
        <v>411</v>
      </c>
    </row>
    <row r="16" spans="1:7">
      <c r="A16" s="291"/>
      <c r="B16" s="294"/>
      <c r="C16" s="98" t="s">
        <v>412</v>
      </c>
      <c r="D16" s="239">
        <v>7</v>
      </c>
      <c r="E16" s="239">
        <v>2</v>
      </c>
      <c r="F16" s="239">
        <v>5</v>
      </c>
      <c r="G16" s="98" t="s">
        <v>413</v>
      </c>
    </row>
    <row r="17" spans="1:7">
      <c r="A17" s="289">
        <v>6</v>
      </c>
      <c r="B17" s="292" t="s">
        <v>18</v>
      </c>
      <c r="C17" s="98" t="s">
        <v>414</v>
      </c>
      <c r="D17" s="239">
        <v>6</v>
      </c>
      <c r="E17" s="239">
        <v>5</v>
      </c>
      <c r="F17" s="239">
        <v>1</v>
      </c>
      <c r="G17" s="98" t="s">
        <v>415</v>
      </c>
    </row>
    <row r="18" spans="1:7">
      <c r="A18" s="290"/>
      <c r="B18" s="293"/>
      <c r="C18" s="98" t="s">
        <v>416</v>
      </c>
      <c r="D18" s="239">
        <v>18</v>
      </c>
      <c r="E18" s="239">
        <v>8</v>
      </c>
      <c r="F18" s="239">
        <v>10</v>
      </c>
      <c r="G18" s="98" t="s">
        <v>417</v>
      </c>
    </row>
    <row r="19" spans="1:7">
      <c r="A19" s="291"/>
      <c r="B19" s="294"/>
      <c r="C19" s="98" t="s">
        <v>418</v>
      </c>
      <c r="D19" s="239">
        <v>5</v>
      </c>
      <c r="E19" s="239">
        <v>0</v>
      </c>
      <c r="F19" s="239">
        <v>5</v>
      </c>
      <c r="G19" s="98" t="s">
        <v>419</v>
      </c>
    </row>
    <row r="20" spans="1:7">
      <c r="A20" s="289">
        <v>7</v>
      </c>
      <c r="B20" s="292" t="s">
        <v>44</v>
      </c>
      <c r="C20" s="98" t="s">
        <v>420</v>
      </c>
      <c r="D20" s="239">
        <v>5</v>
      </c>
      <c r="E20" s="239">
        <v>0</v>
      </c>
      <c r="F20" s="239">
        <v>5</v>
      </c>
      <c r="G20" s="98" t="s">
        <v>421</v>
      </c>
    </row>
    <row r="21" spans="1:7">
      <c r="A21" s="290"/>
      <c r="B21" s="293"/>
      <c r="C21" s="98" t="s">
        <v>422</v>
      </c>
      <c r="D21" s="239">
        <v>12</v>
      </c>
      <c r="E21" s="239">
        <v>12</v>
      </c>
      <c r="F21" s="239">
        <v>0</v>
      </c>
      <c r="G21" s="98" t="s">
        <v>423</v>
      </c>
    </row>
    <row r="22" spans="1:7">
      <c r="A22" s="290"/>
      <c r="B22" s="293"/>
      <c r="C22" s="98" t="s">
        <v>424</v>
      </c>
      <c r="D22" s="196">
        <v>3</v>
      </c>
      <c r="E22" s="196">
        <v>2</v>
      </c>
      <c r="F22" s="196">
        <v>1</v>
      </c>
      <c r="G22" s="246" t="s">
        <v>424</v>
      </c>
    </row>
    <row r="23" spans="1:7">
      <c r="A23" s="290"/>
      <c r="B23" s="293"/>
      <c r="C23" s="98" t="s">
        <v>422</v>
      </c>
      <c r="D23" s="196">
        <v>5</v>
      </c>
      <c r="E23" s="196">
        <v>0</v>
      </c>
      <c r="F23" s="196">
        <v>5</v>
      </c>
      <c r="G23" s="246" t="s">
        <v>433</v>
      </c>
    </row>
    <row r="24" spans="1:7">
      <c r="A24" s="291"/>
      <c r="B24" s="294"/>
      <c r="C24" s="98" t="s">
        <v>424</v>
      </c>
      <c r="D24" s="196">
        <v>25</v>
      </c>
      <c r="E24" s="196">
        <v>25</v>
      </c>
      <c r="F24" s="196">
        <v>0</v>
      </c>
      <c r="G24" s="246" t="s">
        <v>425</v>
      </c>
    </row>
    <row r="25" spans="1:7">
      <c r="A25" s="289">
        <v>8</v>
      </c>
      <c r="B25" s="292" t="s">
        <v>34</v>
      </c>
      <c r="C25" s="98" t="s">
        <v>426</v>
      </c>
      <c r="D25" s="196">
        <v>6</v>
      </c>
      <c r="E25" s="196">
        <v>0</v>
      </c>
      <c r="F25" s="196">
        <v>6</v>
      </c>
      <c r="G25" s="246" t="s">
        <v>427</v>
      </c>
    </row>
    <row r="26" spans="1:7">
      <c r="A26" s="290"/>
      <c r="B26" s="293"/>
      <c r="C26" s="98" t="s">
        <v>446</v>
      </c>
      <c r="D26" s="196">
        <v>4</v>
      </c>
      <c r="E26" s="196">
        <v>0</v>
      </c>
      <c r="F26" s="196">
        <v>4</v>
      </c>
      <c r="G26" s="246" t="s">
        <v>447</v>
      </c>
    </row>
    <row r="27" spans="1:7">
      <c r="A27" s="291"/>
      <c r="B27" s="294"/>
      <c r="C27" s="98" t="s">
        <v>34</v>
      </c>
      <c r="D27" s="196">
        <v>7</v>
      </c>
      <c r="E27" s="196">
        <v>5</v>
      </c>
      <c r="F27" s="196">
        <v>2</v>
      </c>
      <c r="G27" s="246" t="s">
        <v>449</v>
      </c>
    </row>
    <row r="28" spans="1:7">
      <c r="A28" s="289">
        <v>9</v>
      </c>
      <c r="B28" s="292" t="s">
        <v>9</v>
      </c>
      <c r="C28" s="98" t="s">
        <v>9</v>
      </c>
      <c r="D28" s="196">
        <v>5</v>
      </c>
      <c r="E28" s="196">
        <v>5</v>
      </c>
      <c r="F28" s="196">
        <v>0</v>
      </c>
      <c r="G28" s="246" t="s">
        <v>428</v>
      </c>
    </row>
    <row r="29" spans="1:7" ht="16.5" customHeight="1">
      <c r="A29" s="291"/>
      <c r="B29" s="294"/>
      <c r="C29" s="98" t="s">
        <v>429</v>
      </c>
      <c r="D29" s="196">
        <v>18</v>
      </c>
      <c r="E29" s="196">
        <v>16</v>
      </c>
      <c r="F29" s="196">
        <v>2</v>
      </c>
      <c r="G29" s="247" t="s">
        <v>462</v>
      </c>
    </row>
    <row r="30" spans="1:7">
      <c r="A30" s="238"/>
      <c r="B30" s="289" t="s">
        <v>48</v>
      </c>
      <c r="C30" s="98" t="s">
        <v>431</v>
      </c>
      <c r="D30" s="196">
        <v>4</v>
      </c>
      <c r="E30" s="196">
        <v>0</v>
      </c>
      <c r="F30" s="196">
        <v>4</v>
      </c>
      <c r="G30" s="246" t="s">
        <v>432</v>
      </c>
    </row>
    <row r="31" spans="1:7">
      <c r="A31" s="239">
        <v>10</v>
      </c>
      <c r="B31" s="291"/>
      <c r="C31" s="98" t="s">
        <v>431</v>
      </c>
      <c r="D31" s="239">
        <v>4</v>
      </c>
      <c r="E31" s="239">
        <v>0</v>
      </c>
      <c r="F31" s="239">
        <v>4</v>
      </c>
      <c r="G31" s="98" t="s">
        <v>432</v>
      </c>
    </row>
    <row r="32" spans="1:7">
      <c r="A32" s="295" t="s">
        <v>45</v>
      </c>
      <c r="B32" s="296"/>
      <c r="C32" s="297"/>
      <c r="D32" s="218">
        <f>SUM(D5:D31)</f>
        <v>231</v>
      </c>
      <c r="E32" s="218">
        <f t="shared" ref="E32:F32" si="0">SUM(E5:E31)</f>
        <v>138</v>
      </c>
      <c r="F32" s="218">
        <f t="shared" si="0"/>
        <v>93</v>
      </c>
      <c r="G32" s="220"/>
    </row>
  </sheetData>
  <mergeCells count="26">
    <mergeCell ref="A32:C32"/>
    <mergeCell ref="A15:A16"/>
    <mergeCell ref="B15:B16"/>
    <mergeCell ref="A17:A19"/>
    <mergeCell ref="B17:B19"/>
    <mergeCell ref="A20:A24"/>
    <mergeCell ref="B20:B24"/>
    <mergeCell ref="A25:A27"/>
    <mergeCell ref="B25:B27"/>
    <mergeCell ref="A28:A29"/>
    <mergeCell ref="B28:B29"/>
    <mergeCell ref="B30:B31"/>
    <mergeCell ref="A5:A7"/>
    <mergeCell ref="B5:B7"/>
    <mergeCell ref="A8:A10"/>
    <mergeCell ref="B8:B10"/>
    <mergeCell ref="A12:A14"/>
    <mergeCell ref="B12:B14"/>
    <mergeCell ref="A1:G1"/>
    <mergeCell ref="A2:A4"/>
    <mergeCell ref="B2:B4"/>
    <mergeCell ref="C2:C4"/>
    <mergeCell ref="D2:F2"/>
    <mergeCell ref="G2:G4"/>
    <mergeCell ref="D3:D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topLeftCell="A31" zoomScale="130" zoomScaleNormal="130" zoomScaleSheetLayoutView="142" workbookViewId="0">
      <selection activeCell="L54" sqref="L54"/>
    </sheetView>
  </sheetViews>
  <sheetFormatPr defaultRowHeight="15"/>
  <cols>
    <col min="1" max="1" width="6.42578125" customWidth="1"/>
    <col min="2" max="2" width="14.28515625" customWidth="1"/>
    <col min="3" max="4" width="8" customWidth="1"/>
    <col min="5" max="5" width="8.85546875" customWidth="1"/>
    <col min="6" max="7" width="8" customWidth="1"/>
    <col min="8" max="8" width="6.85546875" customWidth="1"/>
    <col min="9" max="10" width="8" customWidth="1"/>
    <col min="11" max="11" width="7.140625" customWidth="1"/>
    <col min="12" max="12" width="7.28515625" customWidth="1"/>
    <col min="13" max="13" width="8.42578125" customWidth="1"/>
    <col min="14" max="14" width="8" customWidth="1"/>
    <col min="17" max="17" width="19.140625" customWidth="1"/>
    <col min="18" max="18" width="9.7109375" customWidth="1"/>
    <col min="19" max="19" width="10.28515625" customWidth="1"/>
    <col min="20" max="20" width="16.140625" customWidth="1"/>
  </cols>
  <sheetData>
    <row r="1" spans="1:20">
      <c r="A1" s="9" t="s">
        <v>57</v>
      </c>
    </row>
    <row r="2" spans="1:20">
      <c r="A2" s="258" t="s">
        <v>46</v>
      </c>
      <c r="B2" s="258" t="s">
        <v>47</v>
      </c>
      <c r="C2" s="258" t="s">
        <v>49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20">
      <c r="A3" s="258"/>
      <c r="B3" s="258"/>
      <c r="C3" s="259" t="s">
        <v>50</v>
      </c>
      <c r="D3" s="259"/>
      <c r="E3" s="259"/>
      <c r="F3" s="259" t="s">
        <v>51</v>
      </c>
      <c r="G3" s="259"/>
      <c r="H3" s="259"/>
      <c r="I3" s="259" t="s">
        <v>55</v>
      </c>
      <c r="J3" s="259"/>
      <c r="K3" s="259"/>
      <c r="L3" s="259" t="s">
        <v>297</v>
      </c>
      <c r="M3" s="259"/>
      <c r="N3" s="259"/>
      <c r="P3">
        <v>2018</v>
      </c>
    </row>
    <row r="4" spans="1:20" ht="21">
      <c r="A4" s="258"/>
      <c r="B4" s="258"/>
      <c r="C4" s="7" t="s">
        <v>52</v>
      </c>
      <c r="D4" s="134" t="s">
        <v>364</v>
      </c>
      <c r="E4" s="8" t="s">
        <v>53</v>
      </c>
      <c r="F4" s="7" t="s">
        <v>52</v>
      </c>
      <c r="G4" s="134" t="s">
        <v>364</v>
      </c>
      <c r="H4" s="8" t="s">
        <v>53</v>
      </c>
      <c r="I4" s="53" t="s">
        <v>52</v>
      </c>
      <c r="J4" s="134" t="s">
        <v>364</v>
      </c>
      <c r="K4" s="54" t="s">
        <v>53</v>
      </c>
      <c r="L4" s="7" t="s">
        <v>52</v>
      </c>
      <c r="M4" s="134" t="s">
        <v>364</v>
      </c>
      <c r="N4" s="8" t="s">
        <v>53</v>
      </c>
      <c r="P4" s="260" t="s">
        <v>46</v>
      </c>
      <c r="Q4" s="260" t="s">
        <v>47</v>
      </c>
      <c r="R4" s="261" t="s">
        <v>381</v>
      </c>
      <c r="S4" s="261" t="s">
        <v>382</v>
      </c>
      <c r="T4" s="173" t="s">
        <v>383</v>
      </c>
    </row>
    <row r="5" spans="1:20">
      <c r="A5" s="5">
        <v>1</v>
      </c>
      <c r="B5" s="6" t="s">
        <v>13</v>
      </c>
      <c r="C5" s="171">
        <v>15</v>
      </c>
      <c r="D5" s="171">
        <v>79</v>
      </c>
      <c r="E5" s="171">
        <v>94</v>
      </c>
      <c r="F5" s="171">
        <v>15</v>
      </c>
      <c r="G5" s="171">
        <v>84</v>
      </c>
      <c r="H5" s="171">
        <v>99</v>
      </c>
      <c r="I5" s="171">
        <v>15</v>
      </c>
      <c r="J5" s="170">
        <f t="shared" ref="J5:J14" si="0">G5+R6</f>
        <v>104</v>
      </c>
      <c r="K5" s="171">
        <f>I5+J5</f>
        <v>119</v>
      </c>
      <c r="L5" s="170">
        <v>16</v>
      </c>
      <c r="M5" s="185">
        <f>J5+15</f>
        <v>119</v>
      </c>
      <c r="N5" s="145">
        <f>L5+M5</f>
        <v>135</v>
      </c>
      <c r="O5" s="84"/>
      <c r="P5" s="260"/>
      <c r="Q5" s="260"/>
      <c r="R5" s="261"/>
      <c r="S5" s="261"/>
      <c r="T5" s="173" t="s">
        <v>384</v>
      </c>
    </row>
    <row r="6" spans="1:20" ht="15.75">
      <c r="A6" s="5">
        <v>2</v>
      </c>
      <c r="B6" s="6" t="s">
        <v>29</v>
      </c>
      <c r="C6" s="171">
        <v>15</v>
      </c>
      <c r="D6" s="171">
        <v>81</v>
      </c>
      <c r="E6" s="171">
        <v>96</v>
      </c>
      <c r="F6" s="171">
        <v>15</v>
      </c>
      <c r="G6" s="171">
        <v>92</v>
      </c>
      <c r="H6" s="171">
        <v>107</v>
      </c>
      <c r="I6" s="171">
        <v>15</v>
      </c>
      <c r="J6" s="170">
        <f t="shared" si="0"/>
        <v>106</v>
      </c>
      <c r="K6" s="171">
        <f t="shared" ref="K6:K14" si="1">I6+J6</f>
        <v>121</v>
      </c>
      <c r="L6" s="170">
        <v>15</v>
      </c>
      <c r="M6" s="185">
        <f>J6+12</f>
        <v>118</v>
      </c>
      <c r="N6" s="145">
        <f t="shared" ref="N6:N14" si="2">L6+M6</f>
        <v>133</v>
      </c>
      <c r="O6" s="84"/>
      <c r="P6" s="174">
        <v>1</v>
      </c>
      <c r="Q6" s="175" t="s">
        <v>13</v>
      </c>
      <c r="R6" s="176">
        <v>20</v>
      </c>
      <c r="S6" s="176">
        <v>6</v>
      </c>
      <c r="T6" s="176">
        <v>26</v>
      </c>
    </row>
    <row r="7" spans="1:20" ht="15.75">
      <c r="A7" s="5">
        <v>3</v>
      </c>
      <c r="B7" s="6" t="s">
        <v>38</v>
      </c>
      <c r="C7" s="171">
        <v>13</v>
      </c>
      <c r="D7" s="171">
        <v>85</v>
      </c>
      <c r="E7" s="171">
        <v>98</v>
      </c>
      <c r="F7" s="171">
        <v>17</v>
      </c>
      <c r="G7" s="171">
        <v>105</v>
      </c>
      <c r="H7" s="171">
        <v>122</v>
      </c>
      <c r="I7" s="171">
        <v>17</v>
      </c>
      <c r="J7" s="170">
        <f t="shared" si="0"/>
        <v>124</v>
      </c>
      <c r="K7" s="171">
        <f t="shared" si="1"/>
        <v>141</v>
      </c>
      <c r="L7" s="170">
        <v>18</v>
      </c>
      <c r="M7" s="185">
        <v>144</v>
      </c>
      <c r="N7" s="145">
        <f t="shared" si="2"/>
        <v>162</v>
      </c>
      <c r="O7" s="84"/>
      <c r="P7" s="174">
        <v>2</v>
      </c>
      <c r="Q7" s="175" t="s">
        <v>29</v>
      </c>
      <c r="R7" s="176">
        <v>14</v>
      </c>
      <c r="S7" s="176">
        <v>15</v>
      </c>
      <c r="T7" s="176">
        <v>29</v>
      </c>
    </row>
    <row r="8" spans="1:20" ht="15.75">
      <c r="A8" s="5">
        <v>4</v>
      </c>
      <c r="B8" s="6" t="s">
        <v>22</v>
      </c>
      <c r="C8" s="171">
        <v>11</v>
      </c>
      <c r="D8" s="171">
        <v>85</v>
      </c>
      <c r="E8" s="171">
        <v>96</v>
      </c>
      <c r="F8" s="171">
        <v>11</v>
      </c>
      <c r="G8" s="171">
        <v>90</v>
      </c>
      <c r="H8" s="171">
        <v>101</v>
      </c>
      <c r="I8" s="171">
        <v>11</v>
      </c>
      <c r="J8" s="170">
        <f t="shared" si="0"/>
        <v>104</v>
      </c>
      <c r="K8" s="171">
        <f t="shared" si="1"/>
        <v>115</v>
      </c>
      <c r="L8" s="170">
        <v>11</v>
      </c>
      <c r="M8" s="185">
        <f>J8+31</f>
        <v>135</v>
      </c>
      <c r="N8" s="145">
        <f t="shared" si="2"/>
        <v>146</v>
      </c>
      <c r="O8" s="84"/>
      <c r="P8" s="174">
        <v>3</v>
      </c>
      <c r="Q8" s="175" t="s">
        <v>38</v>
      </c>
      <c r="R8" s="176">
        <v>19</v>
      </c>
      <c r="S8" s="176">
        <v>13</v>
      </c>
      <c r="T8" s="176">
        <v>32</v>
      </c>
    </row>
    <row r="9" spans="1:20" ht="15.75">
      <c r="A9" s="5">
        <v>5</v>
      </c>
      <c r="B9" s="6" t="s">
        <v>26</v>
      </c>
      <c r="C9" s="171">
        <v>13</v>
      </c>
      <c r="D9" s="171">
        <v>76</v>
      </c>
      <c r="E9" s="171">
        <v>89</v>
      </c>
      <c r="F9" s="171">
        <v>13</v>
      </c>
      <c r="G9" s="171">
        <v>86</v>
      </c>
      <c r="H9" s="171">
        <v>99</v>
      </c>
      <c r="I9" s="171">
        <v>13</v>
      </c>
      <c r="J9" s="170">
        <f t="shared" si="0"/>
        <v>90</v>
      </c>
      <c r="K9" s="171">
        <f t="shared" si="1"/>
        <v>103</v>
      </c>
      <c r="L9" s="170">
        <v>13</v>
      </c>
      <c r="M9" s="185">
        <f>J9+2</f>
        <v>92</v>
      </c>
      <c r="N9" s="145">
        <f t="shared" si="2"/>
        <v>105</v>
      </c>
      <c r="O9" s="84"/>
      <c r="P9" s="174">
        <v>4</v>
      </c>
      <c r="Q9" s="175" t="s">
        <v>22</v>
      </c>
      <c r="R9" s="176">
        <v>14</v>
      </c>
      <c r="S9" s="176">
        <v>14</v>
      </c>
      <c r="T9" s="176">
        <v>28</v>
      </c>
    </row>
    <row r="10" spans="1:20" ht="15.75">
      <c r="A10" s="5">
        <v>6</v>
      </c>
      <c r="B10" s="6" t="s">
        <v>18</v>
      </c>
      <c r="C10" s="171">
        <v>17</v>
      </c>
      <c r="D10" s="171">
        <v>84</v>
      </c>
      <c r="E10" s="171">
        <v>101</v>
      </c>
      <c r="F10" s="171">
        <v>17</v>
      </c>
      <c r="G10" s="171">
        <v>93</v>
      </c>
      <c r="H10" s="171">
        <v>110</v>
      </c>
      <c r="I10" s="171">
        <v>17</v>
      </c>
      <c r="J10" s="170">
        <f t="shared" si="0"/>
        <v>126</v>
      </c>
      <c r="K10" s="171">
        <f t="shared" si="1"/>
        <v>143</v>
      </c>
      <c r="L10" s="170">
        <v>18</v>
      </c>
      <c r="M10" s="185">
        <f>J10+47</f>
        <v>173</v>
      </c>
      <c r="N10" s="145">
        <f t="shared" si="2"/>
        <v>191</v>
      </c>
      <c r="O10" s="84"/>
      <c r="P10" s="174">
        <v>5</v>
      </c>
      <c r="Q10" s="175" t="s">
        <v>26</v>
      </c>
      <c r="R10" s="176">
        <v>4</v>
      </c>
      <c r="S10" s="176">
        <v>7</v>
      </c>
      <c r="T10" s="176">
        <v>11</v>
      </c>
    </row>
    <row r="11" spans="1:20" ht="15.75">
      <c r="A11" s="5">
        <v>7</v>
      </c>
      <c r="B11" s="6" t="s">
        <v>44</v>
      </c>
      <c r="C11" s="171">
        <v>8</v>
      </c>
      <c r="D11" s="171">
        <v>64</v>
      </c>
      <c r="E11" s="171">
        <v>72</v>
      </c>
      <c r="F11" s="171">
        <v>8</v>
      </c>
      <c r="G11" s="171">
        <v>75</v>
      </c>
      <c r="H11" s="171">
        <v>83</v>
      </c>
      <c r="I11" s="171">
        <v>8</v>
      </c>
      <c r="J11" s="170">
        <f t="shared" si="0"/>
        <v>91</v>
      </c>
      <c r="K11" s="171">
        <f t="shared" si="1"/>
        <v>99</v>
      </c>
      <c r="L11" s="170">
        <v>8</v>
      </c>
      <c r="M11" s="185">
        <f>J11+30</f>
        <v>121</v>
      </c>
      <c r="N11" s="145">
        <f t="shared" si="2"/>
        <v>129</v>
      </c>
      <c r="O11" s="84"/>
      <c r="P11" s="174">
        <v>6</v>
      </c>
      <c r="Q11" s="175" t="s">
        <v>18</v>
      </c>
      <c r="R11" s="176">
        <v>33</v>
      </c>
      <c r="S11" s="176">
        <v>19</v>
      </c>
      <c r="T11" s="176">
        <v>52</v>
      </c>
    </row>
    <row r="12" spans="1:20" ht="15.75">
      <c r="A12" s="5">
        <v>8</v>
      </c>
      <c r="B12" s="6" t="s">
        <v>34</v>
      </c>
      <c r="C12" s="171">
        <v>11</v>
      </c>
      <c r="D12" s="171">
        <v>77</v>
      </c>
      <c r="E12" s="171">
        <v>88</v>
      </c>
      <c r="F12" s="171">
        <v>11</v>
      </c>
      <c r="G12" s="171">
        <v>99</v>
      </c>
      <c r="H12" s="171">
        <v>110</v>
      </c>
      <c r="I12" s="171">
        <v>11</v>
      </c>
      <c r="J12" s="170">
        <f t="shared" si="0"/>
        <v>120</v>
      </c>
      <c r="K12" s="171">
        <f t="shared" si="1"/>
        <v>131</v>
      </c>
      <c r="L12" s="170">
        <v>11</v>
      </c>
      <c r="M12" s="185">
        <f>J12+20</f>
        <v>140</v>
      </c>
      <c r="N12" s="145">
        <f t="shared" si="2"/>
        <v>151</v>
      </c>
      <c r="O12" s="84"/>
      <c r="P12" s="174">
        <v>7</v>
      </c>
      <c r="Q12" s="175" t="s">
        <v>44</v>
      </c>
      <c r="R12" s="176">
        <v>16</v>
      </c>
      <c r="S12" s="176">
        <v>15</v>
      </c>
      <c r="T12" s="176">
        <v>31</v>
      </c>
    </row>
    <row r="13" spans="1:20" ht="15.75">
      <c r="A13" s="5">
        <v>9</v>
      </c>
      <c r="B13" s="6" t="s">
        <v>9</v>
      </c>
      <c r="C13" s="171">
        <v>10</v>
      </c>
      <c r="D13" s="171">
        <v>67</v>
      </c>
      <c r="E13" s="171">
        <v>77</v>
      </c>
      <c r="F13" s="171">
        <v>10</v>
      </c>
      <c r="G13" s="171">
        <v>70</v>
      </c>
      <c r="H13" s="171">
        <v>80</v>
      </c>
      <c r="I13" s="171">
        <v>10</v>
      </c>
      <c r="J13" s="170">
        <f t="shared" si="0"/>
        <v>77</v>
      </c>
      <c r="K13" s="171">
        <f t="shared" si="1"/>
        <v>87</v>
      </c>
      <c r="L13" s="170">
        <v>10</v>
      </c>
      <c r="M13" s="185">
        <f>J13+15</f>
        <v>92</v>
      </c>
      <c r="N13" s="145">
        <f t="shared" si="2"/>
        <v>102</v>
      </c>
      <c r="O13" s="84"/>
      <c r="P13" s="174">
        <v>8</v>
      </c>
      <c r="Q13" s="175" t="s">
        <v>34</v>
      </c>
      <c r="R13" s="176">
        <v>21</v>
      </c>
      <c r="S13" s="176">
        <v>6</v>
      </c>
      <c r="T13" s="176">
        <v>27</v>
      </c>
    </row>
    <row r="14" spans="1:20" ht="15.75">
      <c r="A14" s="5">
        <v>10</v>
      </c>
      <c r="B14" s="6" t="s">
        <v>48</v>
      </c>
      <c r="C14" s="171">
        <v>6</v>
      </c>
      <c r="D14" s="171">
        <v>72</v>
      </c>
      <c r="E14" s="171">
        <v>78</v>
      </c>
      <c r="F14" s="171">
        <v>6</v>
      </c>
      <c r="G14" s="171">
        <v>77</v>
      </c>
      <c r="H14" s="171">
        <v>83</v>
      </c>
      <c r="I14" s="171">
        <v>6</v>
      </c>
      <c r="J14" s="170">
        <f t="shared" si="0"/>
        <v>83</v>
      </c>
      <c r="K14" s="171">
        <f t="shared" si="1"/>
        <v>89</v>
      </c>
      <c r="L14" s="170">
        <v>6</v>
      </c>
      <c r="M14" s="185">
        <f>J14+13</f>
        <v>96</v>
      </c>
      <c r="N14" s="145">
        <f t="shared" si="2"/>
        <v>102</v>
      </c>
      <c r="O14" s="84"/>
      <c r="P14" s="174">
        <v>9</v>
      </c>
      <c r="Q14" s="175" t="s">
        <v>9</v>
      </c>
      <c r="R14" s="176">
        <v>7</v>
      </c>
      <c r="S14" s="176">
        <v>8</v>
      </c>
      <c r="T14" s="176">
        <v>15</v>
      </c>
    </row>
    <row r="15" spans="1:20" ht="15.75">
      <c r="A15" s="190"/>
      <c r="B15" s="191" t="s">
        <v>45</v>
      </c>
      <c r="C15" s="192">
        <v>119</v>
      </c>
      <c r="D15" s="192">
        <v>770</v>
      </c>
      <c r="E15" s="192">
        <v>889</v>
      </c>
      <c r="F15" s="192">
        <v>123</v>
      </c>
      <c r="G15" s="192">
        <v>871</v>
      </c>
      <c r="H15" s="192">
        <v>994</v>
      </c>
      <c r="I15" s="192">
        <f>SUM(I5:I14)</f>
        <v>123</v>
      </c>
      <c r="J15" s="192">
        <f t="shared" ref="J15:M15" si="3">SUM(J5:J14)</f>
        <v>1025</v>
      </c>
      <c r="K15" s="192">
        <f>SUM(K5:K14)</f>
        <v>1148</v>
      </c>
      <c r="L15" s="192">
        <f t="shared" si="3"/>
        <v>126</v>
      </c>
      <c r="M15" s="192">
        <f t="shared" si="3"/>
        <v>1230</v>
      </c>
      <c r="N15" s="192">
        <f>SUM(N5:N14)</f>
        <v>1356</v>
      </c>
      <c r="P15" s="174">
        <v>10</v>
      </c>
      <c r="Q15" s="175" t="s">
        <v>48</v>
      </c>
      <c r="R15" s="176">
        <v>6</v>
      </c>
      <c r="S15" s="176">
        <v>2</v>
      </c>
      <c r="T15" s="176">
        <v>8</v>
      </c>
    </row>
    <row r="16" spans="1:20">
      <c r="H16" s="149"/>
      <c r="I16" s="150"/>
      <c r="J16" s="151"/>
      <c r="K16" s="152"/>
      <c r="L16" s="149"/>
      <c r="M16" s="149"/>
      <c r="N16" s="153"/>
      <c r="P16" s="255" t="s">
        <v>45</v>
      </c>
      <c r="Q16" s="256"/>
      <c r="R16" s="177">
        <v>154</v>
      </c>
      <c r="S16" s="177">
        <v>105</v>
      </c>
      <c r="T16" s="177">
        <v>259</v>
      </c>
    </row>
    <row r="17" spans="1:20" ht="15.75" thickBot="1">
      <c r="A17" s="9" t="s">
        <v>56</v>
      </c>
      <c r="I17" s="86"/>
      <c r="J17" s="85"/>
    </row>
    <row r="18" spans="1:20" ht="15.75">
      <c r="A18" s="266" t="s">
        <v>46</v>
      </c>
      <c r="B18" s="269" t="s">
        <v>47</v>
      </c>
      <c r="C18" s="275" t="s">
        <v>54</v>
      </c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P18" s="178">
        <v>2019</v>
      </c>
    </row>
    <row r="19" spans="1:20" ht="15.75" thickBot="1">
      <c r="A19" s="267"/>
      <c r="B19" s="267"/>
      <c r="C19" s="270" t="s">
        <v>50</v>
      </c>
      <c r="D19" s="271"/>
      <c r="E19" s="272"/>
      <c r="F19" s="273" t="s">
        <v>51</v>
      </c>
      <c r="G19" s="271"/>
      <c r="H19" s="272"/>
      <c r="I19" s="274" t="s">
        <v>55</v>
      </c>
      <c r="J19" s="274"/>
      <c r="K19" s="274"/>
      <c r="L19" s="274" t="s">
        <v>297</v>
      </c>
      <c r="M19" s="274"/>
      <c r="N19" s="274"/>
      <c r="P19" s="262" t="s">
        <v>46</v>
      </c>
      <c r="Q19" s="262" t="s">
        <v>47</v>
      </c>
      <c r="R19" s="264" t="s">
        <v>381</v>
      </c>
      <c r="S19" s="264" t="s">
        <v>382</v>
      </c>
      <c r="T19" s="173" t="s">
        <v>383</v>
      </c>
    </row>
    <row r="20" spans="1:20" ht="21.75" thickBot="1">
      <c r="A20" s="268"/>
      <c r="B20" s="267"/>
      <c r="C20" s="180" t="s">
        <v>52</v>
      </c>
      <c r="D20" s="181" t="s">
        <v>364</v>
      </c>
      <c r="E20" s="182" t="s">
        <v>53</v>
      </c>
      <c r="F20" s="180" t="s">
        <v>52</v>
      </c>
      <c r="G20" s="181" t="s">
        <v>364</v>
      </c>
      <c r="H20" s="182" t="s">
        <v>53</v>
      </c>
      <c r="I20" s="183" t="s">
        <v>52</v>
      </c>
      <c r="J20" s="181" t="s">
        <v>363</v>
      </c>
      <c r="K20" s="181" t="s">
        <v>53</v>
      </c>
      <c r="L20" s="183" t="s">
        <v>52</v>
      </c>
      <c r="M20" s="181" t="s">
        <v>364</v>
      </c>
      <c r="N20" s="181" t="s">
        <v>53</v>
      </c>
      <c r="P20" s="263"/>
      <c r="Q20" s="263"/>
      <c r="R20" s="265"/>
      <c r="S20" s="265"/>
      <c r="T20" s="173" t="s">
        <v>384</v>
      </c>
    </row>
    <row r="21" spans="1:20" ht="16.5" thickBot="1">
      <c r="A21" s="179">
        <v>1</v>
      </c>
      <c r="B21" s="184" t="s">
        <v>13</v>
      </c>
      <c r="C21" s="172">
        <v>32</v>
      </c>
      <c r="D21" s="172">
        <v>756</v>
      </c>
      <c r="E21" s="172">
        <v>788</v>
      </c>
      <c r="F21" s="172">
        <v>33</v>
      </c>
      <c r="G21" s="172">
        <v>784</v>
      </c>
      <c r="H21" s="172">
        <v>817</v>
      </c>
      <c r="I21" s="172">
        <v>33</v>
      </c>
      <c r="J21" s="186">
        <f t="shared" ref="J21:J30" si="4">G21+S6</f>
        <v>790</v>
      </c>
      <c r="K21" s="172">
        <f>I21+J21</f>
        <v>823</v>
      </c>
      <c r="L21" s="186">
        <v>32</v>
      </c>
      <c r="M21" s="185">
        <f>11+J21</f>
        <v>801</v>
      </c>
      <c r="N21" s="145">
        <f>L21+M21</f>
        <v>833</v>
      </c>
      <c r="O21" s="84"/>
      <c r="P21" s="174">
        <v>1</v>
      </c>
      <c r="Q21" s="175" t="s">
        <v>13</v>
      </c>
      <c r="R21" s="176">
        <v>15</v>
      </c>
      <c r="S21" s="176">
        <v>11</v>
      </c>
      <c r="T21" s="176">
        <f>R21+S21</f>
        <v>26</v>
      </c>
    </row>
    <row r="22" spans="1:20" ht="16.5" thickBot="1">
      <c r="A22" s="179">
        <v>2</v>
      </c>
      <c r="B22" s="184" t="s">
        <v>29</v>
      </c>
      <c r="C22" s="172">
        <v>53</v>
      </c>
      <c r="D22" s="172">
        <v>1102</v>
      </c>
      <c r="E22" s="172">
        <v>1155</v>
      </c>
      <c r="F22" s="172">
        <v>54</v>
      </c>
      <c r="G22" s="172">
        <v>1130</v>
      </c>
      <c r="H22" s="172">
        <v>1184</v>
      </c>
      <c r="I22" s="172">
        <v>54</v>
      </c>
      <c r="J22" s="186">
        <f t="shared" si="4"/>
        <v>1145</v>
      </c>
      <c r="K22" s="172">
        <f t="shared" ref="K22:K30" si="5">I22+J22</f>
        <v>1199</v>
      </c>
      <c r="L22" s="186">
        <v>58</v>
      </c>
      <c r="M22" s="185">
        <f>22+J22</f>
        <v>1167</v>
      </c>
      <c r="N22" s="145">
        <f t="shared" ref="N22:N30" si="6">L22+M22</f>
        <v>1225</v>
      </c>
      <c r="O22" s="84"/>
      <c r="P22" s="174">
        <v>2</v>
      </c>
      <c r="Q22" s="175" t="s">
        <v>29</v>
      </c>
      <c r="R22" s="176">
        <v>12</v>
      </c>
      <c r="S22" s="176">
        <v>22</v>
      </c>
      <c r="T22" s="176">
        <f t="shared" ref="T22:T30" si="7">R22+S22</f>
        <v>34</v>
      </c>
    </row>
    <row r="23" spans="1:20" ht="16.5" thickBot="1">
      <c r="A23" s="179">
        <v>3</v>
      </c>
      <c r="B23" s="184" t="s">
        <v>38</v>
      </c>
      <c r="C23" s="172">
        <v>123</v>
      </c>
      <c r="D23" s="172">
        <v>1245</v>
      </c>
      <c r="E23" s="172">
        <v>1368</v>
      </c>
      <c r="F23" s="172">
        <v>124</v>
      </c>
      <c r="G23" s="172">
        <v>1273</v>
      </c>
      <c r="H23" s="172">
        <v>1397</v>
      </c>
      <c r="I23" s="172">
        <v>124</v>
      </c>
      <c r="J23" s="186">
        <f t="shared" si="4"/>
        <v>1286</v>
      </c>
      <c r="K23" s="172">
        <f t="shared" si="5"/>
        <v>1410</v>
      </c>
      <c r="L23" s="186">
        <v>127</v>
      </c>
      <c r="M23" s="185">
        <v>1304</v>
      </c>
      <c r="N23" s="145">
        <f t="shared" si="6"/>
        <v>1431</v>
      </c>
      <c r="O23" s="84"/>
      <c r="P23" s="174">
        <v>3</v>
      </c>
      <c r="Q23" s="175" t="s">
        <v>38</v>
      </c>
      <c r="R23" s="176">
        <v>23</v>
      </c>
      <c r="S23" s="176">
        <v>24</v>
      </c>
      <c r="T23" s="176">
        <f t="shared" si="7"/>
        <v>47</v>
      </c>
    </row>
    <row r="24" spans="1:20" ht="16.5" thickBot="1">
      <c r="A24" s="179">
        <v>4</v>
      </c>
      <c r="B24" s="184" t="s">
        <v>22</v>
      </c>
      <c r="C24" s="172">
        <v>83</v>
      </c>
      <c r="D24" s="172">
        <v>3315</v>
      </c>
      <c r="E24" s="172">
        <v>3398</v>
      </c>
      <c r="F24" s="172">
        <v>84</v>
      </c>
      <c r="G24" s="172">
        <v>3343</v>
      </c>
      <c r="H24" s="172">
        <v>3427</v>
      </c>
      <c r="I24" s="172">
        <v>84</v>
      </c>
      <c r="J24" s="186">
        <f t="shared" si="4"/>
        <v>3357</v>
      </c>
      <c r="K24" s="172">
        <f t="shared" si="5"/>
        <v>3441</v>
      </c>
      <c r="L24" s="186">
        <v>87</v>
      </c>
      <c r="M24" s="185">
        <f>4+J24</f>
        <v>3361</v>
      </c>
      <c r="N24" s="145">
        <f t="shared" si="6"/>
        <v>3448</v>
      </c>
      <c r="O24" s="84"/>
      <c r="P24" s="174">
        <v>4</v>
      </c>
      <c r="Q24" s="175" t="s">
        <v>22</v>
      </c>
      <c r="R24" s="176">
        <v>31</v>
      </c>
      <c r="S24" s="176">
        <v>4</v>
      </c>
      <c r="T24" s="176">
        <f t="shared" si="7"/>
        <v>35</v>
      </c>
    </row>
    <row r="25" spans="1:20" ht="16.5" thickBot="1">
      <c r="A25" s="179">
        <v>5</v>
      </c>
      <c r="B25" s="184" t="s">
        <v>26</v>
      </c>
      <c r="C25" s="172">
        <v>26</v>
      </c>
      <c r="D25" s="172">
        <v>447</v>
      </c>
      <c r="E25" s="172">
        <v>473</v>
      </c>
      <c r="F25" s="172">
        <v>27</v>
      </c>
      <c r="G25" s="172">
        <v>475</v>
      </c>
      <c r="H25" s="172">
        <v>502</v>
      </c>
      <c r="I25" s="172">
        <v>27</v>
      </c>
      <c r="J25" s="186">
        <f t="shared" si="4"/>
        <v>482</v>
      </c>
      <c r="K25" s="172">
        <f t="shared" si="5"/>
        <v>509</v>
      </c>
      <c r="L25" s="186">
        <v>26.5</v>
      </c>
      <c r="M25" s="185">
        <f>5+J25</f>
        <v>487</v>
      </c>
      <c r="N25" s="145">
        <f t="shared" si="6"/>
        <v>513.5</v>
      </c>
      <c r="O25" s="84"/>
      <c r="P25" s="174">
        <v>5</v>
      </c>
      <c r="Q25" s="175" t="s">
        <v>26</v>
      </c>
      <c r="R25" s="176">
        <v>2</v>
      </c>
      <c r="S25" s="176">
        <v>5</v>
      </c>
      <c r="T25" s="176">
        <f t="shared" si="7"/>
        <v>7</v>
      </c>
    </row>
    <row r="26" spans="1:20" ht="16.5" thickBot="1">
      <c r="A26" s="179">
        <v>6</v>
      </c>
      <c r="B26" s="184" t="s">
        <v>18</v>
      </c>
      <c r="C26" s="172">
        <v>24</v>
      </c>
      <c r="D26" s="172">
        <v>509</v>
      </c>
      <c r="E26" s="172">
        <v>533</v>
      </c>
      <c r="F26" s="172">
        <v>25</v>
      </c>
      <c r="G26" s="172">
        <v>537</v>
      </c>
      <c r="H26" s="172">
        <v>562</v>
      </c>
      <c r="I26" s="172">
        <v>25</v>
      </c>
      <c r="J26" s="186">
        <f t="shared" si="4"/>
        <v>556</v>
      </c>
      <c r="K26" s="172">
        <f t="shared" si="5"/>
        <v>581</v>
      </c>
      <c r="L26" s="186">
        <v>24.5</v>
      </c>
      <c r="M26" s="185">
        <f>12+J26</f>
        <v>568</v>
      </c>
      <c r="N26" s="145">
        <f t="shared" si="6"/>
        <v>592.5</v>
      </c>
      <c r="O26" s="84"/>
      <c r="P26" s="174">
        <v>6</v>
      </c>
      <c r="Q26" s="175" t="s">
        <v>18</v>
      </c>
      <c r="R26" s="176">
        <v>47</v>
      </c>
      <c r="S26" s="176">
        <v>12</v>
      </c>
      <c r="T26" s="176">
        <f t="shared" si="7"/>
        <v>59</v>
      </c>
    </row>
    <row r="27" spans="1:20" ht="16.5" thickBot="1">
      <c r="A27" s="179">
        <v>7</v>
      </c>
      <c r="B27" s="184" t="s">
        <v>44</v>
      </c>
      <c r="C27" s="172">
        <v>17</v>
      </c>
      <c r="D27" s="172">
        <v>396</v>
      </c>
      <c r="E27" s="172">
        <v>413</v>
      </c>
      <c r="F27" s="172">
        <v>18</v>
      </c>
      <c r="G27" s="172">
        <v>424</v>
      </c>
      <c r="H27" s="172">
        <v>442</v>
      </c>
      <c r="I27" s="172">
        <v>18</v>
      </c>
      <c r="J27" s="186">
        <f t="shared" si="4"/>
        <v>439</v>
      </c>
      <c r="K27" s="172">
        <f t="shared" si="5"/>
        <v>457</v>
      </c>
      <c r="L27" s="186">
        <v>17.5</v>
      </c>
      <c r="M27" s="185">
        <f>12+J27</f>
        <v>451</v>
      </c>
      <c r="N27" s="145">
        <f t="shared" si="6"/>
        <v>468.5</v>
      </c>
      <c r="O27" s="84"/>
      <c r="P27" s="174">
        <v>7</v>
      </c>
      <c r="Q27" s="175" t="s">
        <v>44</v>
      </c>
      <c r="R27" s="176">
        <v>30</v>
      </c>
      <c r="S27" s="176">
        <v>12</v>
      </c>
      <c r="T27" s="176">
        <f t="shared" si="7"/>
        <v>42</v>
      </c>
    </row>
    <row r="28" spans="1:20" ht="16.5" thickBot="1">
      <c r="A28" s="179">
        <v>8</v>
      </c>
      <c r="B28" s="184" t="s">
        <v>34</v>
      </c>
      <c r="C28" s="172">
        <v>32</v>
      </c>
      <c r="D28" s="172">
        <v>733</v>
      </c>
      <c r="E28" s="172">
        <v>765</v>
      </c>
      <c r="F28" s="172">
        <v>33</v>
      </c>
      <c r="G28" s="172">
        <v>761</v>
      </c>
      <c r="H28" s="172">
        <v>794</v>
      </c>
      <c r="I28" s="172">
        <v>33</v>
      </c>
      <c r="J28" s="186">
        <f t="shared" si="4"/>
        <v>767</v>
      </c>
      <c r="K28" s="172">
        <f t="shared" si="5"/>
        <v>800</v>
      </c>
      <c r="L28" s="186">
        <v>32.5</v>
      </c>
      <c r="M28" s="185">
        <f>18+J28</f>
        <v>785</v>
      </c>
      <c r="N28" s="145">
        <f t="shared" si="6"/>
        <v>817.5</v>
      </c>
      <c r="O28" s="84"/>
      <c r="P28" s="174">
        <v>8</v>
      </c>
      <c r="Q28" s="175" t="s">
        <v>34</v>
      </c>
      <c r="R28" s="176">
        <v>20</v>
      </c>
      <c r="S28" s="176">
        <v>18</v>
      </c>
      <c r="T28" s="176">
        <f t="shared" si="7"/>
        <v>38</v>
      </c>
    </row>
    <row r="29" spans="1:20" ht="16.5" thickBot="1">
      <c r="A29" s="179">
        <v>9</v>
      </c>
      <c r="B29" s="184" t="s">
        <v>9</v>
      </c>
      <c r="C29" s="172">
        <v>14</v>
      </c>
      <c r="D29" s="172">
        <v>444</v>
      </c>
      <c r="E29" s="172">
        <v>458</v>
      </c>
      <c r="F29" s="172">
        <v>15</v>
      </c>
      <c r="G29" s="172">
        <v>472</v>
      </c>
      <c r="H29" s="172">
        <v>487</v>
      </c>
      <c r="I29" s="172">
        <v>15</v>
      </c>
      <c r="J29" s="186">
        <f t="shared" si="4"/>
        <v>480</v>
      </c>
      <c r="K29" s="172">
        <f t="shared" si="5"/>
        <v>495</v>
      </c>
      <c r="L29" s="186">
        <v>14.5</v>
      </c>
      <c r="M29" s="185">
        <f>4+J29</f>
        <v>484</v>
      </c>
      <c r="N29" s="145">
        <f t="shared" si="6"/>
        <v>498.5</v>
      </c>
      <c r="O29" s="84"/>
      <c r="P29" s="174">
        <v>9</v>
      </c>
      <c r="Q29" s="175" t="s">
        <v>9</v>
      </c>
      <c r="R29" s="176">
        <v>15</v>
      </c>
      <c r="S29" s="176">
        <v>4</v>
      </c>
      <c r="T29" s="176">
        <f t="shared" si="7"/>
        <v>19</v>
      </c>
    </row>
    <row r="30" spans="1:20" ht="16.5" thickBot="1">
      <c r="A30" s="179">
        <v>10</v>
      </c>
      <c r="B30" s="184" t="s">
        <v>48</v>
      </c>
      <c r="C30" s="172">
        <v>3</v>
      </c>
      <c r="D30" s="172">
        <v>381</v>
      </c>
      <c r="E30" s="172">
        <v>384</v>
      </c>
      <c r="F30" s="172">
        <v>4</v>
      </c>
      <c r="G30" s="172">
        <v>409</v>
      </c>
      <c r="H30" s="172">
        <v>413</v>
      </c>
      <c r="I30" s="172">
        <v>4</v>
      </c>
      <c r="J30" s="186">
        <f t="shared" si="4"/>
        <v>411</v>
      </c>
      <c r="K30" s="172">
        <f t="shared" si="5"/>
        <v>415</v>
      </c>
      <c r="L30" s="186">
        <v>3.5</v>
      </c>
      <c r="M30" s="185">
        <f>5+J30</f>
        <v>416</v>
      </c>
      <c r="N30" s="145">
        <f t="shared" si="6"/>
        <v>419.5</v>
      </c>
      <c r="O30" s="84"/>
      <c r="P30" s="174">
        <v>10</v>
      </c>
      <c r="Q30" s="175" t="s">
        <v>48</v>
      </c>
      <c r="R30" s="176">
        <v>13</v>
      </c>
      <c r="S30" s="176">
        <v>5</v>
      </c>
      <c r="T30" s="176">
        <f t="shared" si="7"/>
        <v>18</v>
      </c>
    </row>
    <row r="31" spans="1:20" ht="15.75" thickBot="1">
      <c r="A31" s="187"/>
      <c r="B31" s="188" t="s">
        <v>45</v>
      </c>
      <c r="C31" s="189">
        <v>407</v>
      </c>
      <c r="D31" s="189">
        <v>9328</v>
      </c>
      <c r="E31" s="189">
        <v>9735</v>
      </c>
      <c r="F31" s="189">
        <v>417</v>
      </c>
      <c r="G31" s="189">
        <v>9608</v>
      </c>
      <c r="H31" s="189">
        <v>10025</v>
      </c>
      <c r="I31" s="189">
        <f>SUM(I21:I30)</f>
        <v>417</v>
      </c>
      <c r="J31" s="189">
        <f t="shared" ref="J31:N31" si="8">SUM(J21:J30)</f>
        <v>9713</v>
      </c>
      <c r="K31" s="189">
        <f t="shared" si="8"/>
        <v>10130</v>
      </c>
      <c r="L31" s="189">
        <f t="shared" si="8"/>
        <v>423</v>
      </c>
      <c r="M31" s="189">
        <f t="shared" si="8"/>
        <v>9824</v>
      </c>
      <c r="N31" s="189">
        <f t="shared" si="8"/>
        <v>10247</v>
      </c>
      <c r="P31" s="255" t="s">
        <v>45</v>
      </c>
      <c r="Q31" s="256"/>
      <c r="R31" s="177">
        <f>SUM(R21:R30)</f>
        <v>208</v>
      </c>
      <c r="S31" s="177">
        <f t="shared" ref="S31:T31" si="9">SUM(S21:S30)</f>
        <v>117</v>
      </c>
      <c r="T31" s="177">
        <f t="shared" si="9"/>
        <v>325</v>
      </c>
    </row>
    <row r="32" spans="1:20">
      <c r="A32" s="112"/>
      <c r="B32" s="113"/>
      <c r="C32" s="112"/>
      <c r="D32" s="114"/>
      <c r="E32" s="114"/>
      <c r="F32" s="112"/>
      <c r="G32" s="114"/>
      <c r="H32" s="114"/>
      <c r="I32" s="114"/>
      <c r="J32" s="114"/>
      <c r="K32" s="114"/>
      <c r="L32" s="114"/>
      <c r="M32" s="114"/>
      <c r="N32" s="114"/>
    </row>
    <row r="33" spans="1:14">
      <c r="A33" s="112"/>
      <c r="B33" s="113"/>
      <c r="C33" s="112"/>
      <c r="D33" s="114"/>
      <c r="E33" s="114"/>
      <c r="F33" s="112"/>
      <c r="G33" s="114"/>
      <c r="H33" s="114"/>
      <c r="I33" s="114"/>
      <c r="J33" s="114"/>
      <c r="K33" s="114"/>
      <c r="L33" s="114"/>
      <c r="M33" s="114"/>
      <c r="N33" s="114"/>
    </row>
    <row r="34" spans="1:14" s="108" customFormat="1">
      <c r="A34" s="111"/>
      <c r="B34" s="111"/>
      <c r="E34" s="109"/>
      <c r="F34" s="109"/>
      <c r="G34" s="109"/>
      <c r="H34" s="109"/>
      <c r="I34" s="109"/>
      <c r="J34" s="109"/>
      <c r="K34" s="110"/>
      <c r="L34" s="109"/>
      <c r="M34" s="109"/>
      <c r="N34" s="109"/>
    </row>
    <row r="35" spans="1:14" ht="15.75">
      <c r="A35" s="257" t="s">
        <v>332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</row>
    <row r="36" spans="1:14">
      <c r="A36" s="258" t="s">
        <v>46</v>
      </c>
      <c r="B36" s="258" t="s">
        <v>47</v>
      </c>
      <c r="C36" s="258" t="s">
        <v>333</v>
      </c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</row>
    <row r="37" spans="1:14">
      <c r="A37" s="258"/>
      <c r="B37" s="258"/>
      <c r="C37" s="259" t="s">
        <v>50</v>
      </c>
      <c r="D37" s="259"/>
      <c r="E37" s="259"/>
      <c r="F37" s="259" t="s">
        <v>51</v>
      </c>
      <c r="G37" s="259"/>
      <c r="H37" s="259"/>
      <c r="I37" s="259" t="s">
        <v>55</v>
      </c>
      <c r="J37" s="259"/>
      <c r="K37" s="259"/>
      <c r="L37" s="259" t="s">
        <v>297</v>
      </c>
      <c r="M37" s="259"/>
      <c r="N37" s="259"/>
    </row>
    <row r="38" spans="1:14" ht="21">
      <c r="A38" s="258"/>
      <c r="B38" s="258"/>
      <c r="C38" s="163" t="s">
        <v>52</v>
      </c>
      <c r="D38" s="164" t="s">
        <v>364</v>
      </c>
      <c r="E38" s="164" t="s">
        <v>53</v>
      </c>
      <c r="F38" s="87" t="s">
        <v>52</v>
      </c>
      <c r="G38" s="134" t="s">
        <v>364</v>
      </c>
      <c r="H38" s="88" t="s">
        <v>53</v>
      </c>
      <c r="I38" s="163" t="s">
        <v>52</v>
      </c>
      <c r="J38" s="164" t="s">
        <v>364</v>
      </c>
      <c r="K38" s="164" t="s">
        <v>53</v>
      </c>
      <c r="L38" s="87" t="s">
        <v>52</v>
      </c>
      <c r="M38" s="134" t="s">
        <v>364</v>
      </c>
      <c r="N38" s="88" t="s">
        <v>53</v>
      </c>
    </row>
    <row r="39" spans="1:14">
      <c r="A39" s="5">
        <v>1</v>
      </c>
      <c r="B39" s="6" t="s">
        <v>13</v>
      </c>
      <c r="C39" s="170">
        <f t="shared" ref="C39:C48" si="10">C5+C21</f>
        <v>47</v>
      </c>
      <c r="D39" s="170">
        <f t="shared" ref="D39:L39" si="11">D5+D21</f>
        <v>835</v>
      </c>
      <c r="E39" s="170">
        <f t="shared" si="11"/>
        <v>882</v>
      </c>
      <c r="F39" s="170">
        <f t="shared" si="11"/>
        <v>48</v>
      </c>
      <c r="G39" s="171">
        <f t="shared" si="11"/>
        <v>868</v>
      </c>
      <c r="H39" s="170">
        <f t="shared" si="11"/>
        <v>916</v>
      </c>
      <c r="I39" s="171">
        <f>I5+I21</f>
        <v>48</v>
      </c>
      <c r="J39" s="171">
        <f t="shared" si="11"/>
        <v>894</v>
      </c>
      <c r="K39" s="170">
        <f t="shared" si="11"/>
        <v>942</v>
      </c>
      <c r="L39" s="171">
        <f t="shared" si="11"/>
        <v>48</v>
      </c>
      <c r="M39" s="171">
        <f>M5+M21</f>
        <v>920</v>
      </c>
      <c r="N39" s="170">
        <f>N5+N21</f>
        <v>968</v>
      </c>
    </row>
    <row r="40" spans="1:14">
      <c r="A40" s="5">
        <v>2</v>
      </c>
      <c r="B40" s="6" t="s">
        <v>29</v>
      </c>
      <c r="C40" s="170">
        <f t="shared" si="10"/>
        <v>68</v>
      </c>
      <c r="D40" s="170">
        <f t="shared" ref="D40:N40" si="12">D6+D22</f>
        <v>1183</v>
      </c>
      <c r="E40" s="170">
        <f t="shared" si="12"/>
        <v>1251</v>
      </c>
      <c r="F40" s="170">
        <f t="shared" si="12"/>
        <v>69</v>
      </c>
      <c r="G40" s="171">
        <f t="shared" si="12"/>
        <v>1222</v>
      </c>
      <c r="H40" s="170">
        <f t="shared" si="12"/>
        <v>1291</v>
      </c>
      <c r="I40" s="171">
        <f t="shared" si="12"/>
        <v>69</v>
      </c>
      <c r="J40" s="171">
        <f t="shared" si="12"/>
        <v>1251</v>
      </c>
      <c r="K40" s="170">
        <f t="shared" si="12"/>
        <v>1320</v>
      </c>
      <c r="L40" s="171">
        <f t="shared" si="12"/>
        <v>73</v>
      </c>
      <c r="M40" s="171">
        <f t="shared" si="12"/>
        <v>1285</v>
      </c>
      <c r="N40" s="170">
        <f t="shared" si="12"/>
        <v>1358</v>
      </c>
    </row>
    <row r="41" spans="1:14">
      <c r="A41" s="5">
        <v>3</v>
      </c>
      <c r="B41" s="6" t="s">
        <v>38</v>
      </c>
      <c r="C41" s="170">
        <f t="shared" si="10"/>
        <v>136</v>
      </c>
      <c r="D41" s="170">
        <f t="shared" ref="D41:N41" si="13">D7+D23</f>
        <v>1330</v>
      </c>
      <c r="E41" s="170">
        <f t="shared" si="13"/>
        <v>1466</v>
      </c>
      <c r="F41" s="170">
        <f t="shared" si="13"/>
        <v>141</v>
      </c>
      <c r="G41" s="171">
        <f t="shared" si="13"/>
        <v>1378</v>
      </c>
      <c r="H41" s="170">
        <f t="shared" si="13"/>
        <v>1519</v>
      </c>
      <c r="I41" s="171">
        <f t="shared" si="13"/>
        <v>141</v>
      </c>
      <c r="J41" s="171">
        <f t="shared" si="13"/>
        <v>1410</v>
      </c>
      <c r="K41" s="170">
        <f t="shared" si="13"/>
        <v>1551</v>
      </c>
      <c r="L41" s="171">
        <f>L7+L23</f>
        <v>145</v>
      </c>
      <c r="M41" s="171">
        <f>M7+M23</f>
        <v>1448</v>
      </c>
      <c r="N41" s="170">
        <f t="shared" si="13"/>
        <v>1593</v>
      </c>
    </row>
    <row r="42" spans="1:14">
      <c r="A42" s="5">
        <v>4</v>
      </c>
      <c r="B42" s="6" t="s">
        <v>22</v>
      </c>
      <c r="C42" s="170">
        <f t="shared" si="10"/>
        <v>94</v>
      </c>
      <c r="D42" s="170">
        <f t="shared" ref="D42:N42" si="14">D8+D24</f>
        <v>3400</v>
      </c>
      <c r="E42" s="170">
        <f t="shared" si="14"/>
        <v>3494</v>
      </c>
      <c r="F42" s="170">
        <f t="shared" si="14"/>
        <v>95</v>
      </c>
      <c r="G42" s="171">
        <f t="shared" si="14"/>
        <v>3433</v>
      </c>
      <c r="H42" s="170">
        <f t="shared" si="14"/>
        <v>3528</v>
      </c>
      <c r="I42" s="171">
        <f t="shared" si="14"/>
        <v>95</v>
      </c>
      <c r="J42" s="171">
        <f t="shared" si="14"/>
        <v>3461</v>
      </c>
      <c r="K42" s="170">
        <f t="shared" si="14"/>
        <v>3556</v>
      </c>
      <c r="L42" s="171">
        <f t="shared" si="14"/>
        <v>98</v>
      </c>
      <c r="M42" s="171">
        <f t="shared" si="14"/>
        <v>3496</v>
      </c>
      <c r="N42" s="170">
        <f t="shared" si="14"/>
        <v>3594</v>
      </c>
    </row>
    <row r="43" spans="1:14">
      <c r="A43" s="5">
        <v>5</v>
      </c>
      <c r="B43" s="6" t="s">
        <v>26</v>
      </c>
      <c r="C43" s="170">
        <f t="shared" si="10"/>
        <v>39</v>
      </c>
      <c r="D43" s="170">
        <f t="shared" ref="D43:M43" si="15">D9+D25</f>
        <v>523</v>
      </c>
      <c r="E43" s="170">
        <f t="shared" si="15"/>
        <v>562</v>
      </c>
      <c r="F43" s="170">
        <f t="shared" si="15"/>
        <v>40</v>
      </c>
      <c r="G43" s="171">
        <f t="shared" si="15"/>
        <v>561</v>
      </c>
      <c r="H43" s="170">
        <f t="shared" si="15"/>
        <v>601</v>
      </c>
      <c r="I43" s="171">
        <f t="shared" si="15"/>
        <v>40</v>
      </c>
      <c r="J43" s="171">
        <f t="shared" si="15"/>
        <v>572</v>
      </c>
      <c r="K43" s="170">
        <f t="shared" si="15"/>
        <v>612</v>
      </c>
      <c r="L43" s="171">
        <f t="shared" si="15"/>
        <v>39.5</v>
      </c>
      <c r="M43" s="171">
        <f t="shared" si="15"/>
        <v>579</v>
      </c>
      <c r="N43" s="170">
        <f>N9+N25</f>
        <v>618.5</v>
      </c>
    </row>
    <row r="44" spans="1:14">
      <c r="A44" s="5">
        <v>6</v>
      </c>
      <c r="B44" s="6" t="s">
        <v>18</v>
      </c>
      <c r="C44" s="170">
        <f t="shared" si="10"/>
        <v>41</v>
      </c>
      <c r="D44" s="170">
        <f t="shared" ref="D44:N44" si="16">D10+D26</f>
        <v>593</v>
      </c>
      <c r="E44" s="170">
        <f t="shared" si="16"/>
        <v>634</v>
      </c>
      <c r="F44" s="170">
        <f t="shared" si="16"/>
        <v>42</v>
      </c>
      <c r="G44" s="171">
        <f t="shared" si="16"/>
        <v>630</v>
      </c>
      <c r="H44" s="170">
        <f t="shared" si="16"/>
        <v>672</v>
      </c>
      <c r="I44" s="171">
        <f t="shared" si="16"/>
        <v>42</v>
      </c>
      <c r="J44" s="171">
        <f t="shared" si="16"/>
        <v>682</v>
      </c>
      <c r="K44" s="170">
        <f t="shared" si="16"/>
        <v>724</v>
      </c>
      <c r="L44" s="171">
        <f t="shared" si="16"/>
        <v>42.5</v>
      </c>
      <c r="M44" s="171">
        <f t="shared" si="16"/>
        <v>741</v>
      </c>
      <c r="N44" s="170">
        <f t="shared" si="16"/>
        <v>783.5</v>
      </c>
    </row>
    <row r="45" spans="1:14">
      <c r="A45" s="5">
        <v>7</v>
      </c>
      <c r="B45" s="6" t="s">
        <v>44</v>
      </c>
      <c r="C45" s="170">
        <f t="shared" si="10"/>
        <v>25</v>
      </c>
      <c r="D45" s="170">
        <f t="shared" ref="D45:N45" si="17">D11+D27</f>
        <v>460</v>
      </c>
      <c r="E45" s="170">
        <f t="shared" si="17"/>
        <v>485</v>
      </c>
      <c r="F45" s="170">
        <f t="shared" si="17"/>
        <v>26</v>
      </c>
      <c r="G45" s="171">
        <f t="shared" si="17"/>
        <v>499</v>
      </c>
      <c r="H45" s="170">
        <f t="shared" si="17"/>
        <v>525</v>
      </c>
      <c r="I45" s="171">
        <f t="shared" si="17"/>
        <v>26</v>
      </c>
      <c r="J45" s="171">
        <f t="shared" si="17"/>
        <v>530</v>
      </c>
      <c r="K45" s="170">
        <f t="shared" si="17"/>
        <v>556</v>
      </c>
      <c r="L45" s="171">
        <f t="shared" si="17"/>
        <v>25.5</v>
      </c>
      <c r="M45" s="171">
        <f t="shared" si="17"/>
        <v>572</v>
      </c>
      <c r="N45" s="170">
        <f t="shared" si="17"/>
        <v>597.5</v>
      </c>
    </row>
    <row r="46" spans="1:14">
      <c r="A46" s="5">
        <v>8</v>
      </c>
      <c r="B46" s="6" t="s">
        <v>34</v>
      </c>
      <c r="C46" s="170">
        <f t="shared" si="10"/>
        <v>43</v>
      </c>
      <c r="D46" s="170">
        <f t="shared" ref="D46:N46" si="18">D12+D28</f>
        <v>810</v>
      </c>
      <c r="E46" s="170">
        <f t="shared" si="18"/>
        <v>853</v>
      </c>
      <c r="F46" s="170">
        <f t="shared" si="18"/>
        <v>44</v>
      </c>
      <c r="G46" s="171">
        <f t="shared" si="18"/>
        <v>860</v>
      </c>
      <c r="H46" s="170">
        <f t="shared" si="18"/>
        <v>904</v>
      </c>
      <c r="I46" s="171">
        <f t="shared" si="18"/>
        <v>44</v>
      </c>
      <c r="J46" s="171">
        <f t="shared" si="18"/>
        <v>887</v>
      </c>
      <c r="K46" s="170">
        <f t="shared" si="18"/>
        <v>931</v>
      </c>
      <c r="L46" s="171">
        <f t="shared" si="18"/>
        <v>43.5</v>
      </c>
      <c r="M46" s="171">
        <f t="shared" si="18"/>
        <v>925</v>
      </c>
      <c r="N46" s="170">
        <f t="shared" si="18"/>
        <v>968.5</v>
      </c>
    </row>
    <row r="47" spans="1:14">
      <c r="A47" s="5">
        <v>9</v>
      </c>
      <c r="B47" s="6" t="s">
        <v>9</v>
      </c>
      <c r="C47" s="170">
        <f t="shared" si="10"/>
        <v>24</v>
      </c>
      <c r="D47" s="170">
        <f t="shared" ref="D47:M47" si="19">D13+D29</f>
        <v>511</v>
      </c>
      <c r="E47" s="170">
        <f t="shared" si="19"/>
        <v>535</v>
      </c>
      <c r="F47" s="170">
        <f t="shared" si="19"/>
        <v>25</v>
      </c>
      <c r="G47" s="171">
        <f t="shared" si="19"/>
        <v>542</v>
      </c>
      <c r="H47" s="170">
        <f t="shared" si="19"/>
        <v>567</v>
      </c>
      <c r="I47" s="171">
        <f t="shared" si="19"/>
        <v>25</v>
      </c>
      <c r="J47" s="171">
        <f t="shared" si="19"/>
        <v>557</v>
      </c>
      <c r="K47" s="170">
        <f t="shared" si="19"/>
        <v>582</v>
      </c>
      <c r="L47" s="171">
        <f t="shared" si="19"/>
        <v>24.5</v>
      </c>
      <c r="M47" s="171">
        <f t="shared" si="19"/>
        <v>576</v>
      </c>
      <c r="N47" s="170">
        <f>N13+N29</f>
        <v>600.5</v>
      </c>
    </row>
    <row r="48" spans="1:14">
      <c r="A48" s="5">
        <v>10</v>
      </c>
      <c r="B48" s="6" t="s">
        <v>48</v>
      </c>
      <c r="C48" s="170">
        <f t="shared" si="10"/>
        <v>9</v>
      </c>
      <c r="D48" s="170">
        <f t="shared" ref="D48:N48" si="20">D14+D30</f>
        <v>453</v>
      </c>
      <c r="E48" s="170">
        <f t="shared" si="20"/>
        <v>462</v>
      </c>
      <c r="F48" s="170">
        <f t="shared" si="20"/>
        <v>10</v>
      </c>
      <c r="G48" s="171">
        <f t="shared" si="20"/>
        <v>486</v>
      </c>
      <c r="H48" s="170">
        <f t="shared" si="20"/>
        <v>496</v>
      </c>
      <c r="I48" s="171">
        <f t="shared" si="20"/>
        <v>10</v>
      </c>
      <c r="J48" s="171">
        <f t="shared" si="20"/>
        <v>494</v>
      </c>
      <c r="K48" s="170">
        <f t="shared" si="20"/>
        <v>504</v>
      </c>
      <c r="L48" s="171">
        <f t="shared" si="20"/>
        <v>9.5</v>
      </c>
      <c r="M48" s="171">
        <f t="shared" si="20"/>
        <v>512</v>
      </c>
      <c r="N48" s="170">
        <f t="shared" si="20"/>
        <v>521.5</v>
      </c>
    </row>
    <row r="49" spans="1:14">
      <c r="A49" s="190"/>
      <c r="B49" s="191" t="s">
        <v>45</v>
      </c>
      <c r="C49" s="192">
        <f>SUM(C39:C48)</f>
        <v>526</v>
      </c>
      <c r="D49" s="192">
        <f t="shared" ref="D49:N49" si="21">SUM(D39:D48)</f>
        <v>10098</v>
      </c>
      <c r="E49" s="192">
        <f t="shared" si="21"/>
        <v>10624</v>
      </c>
      <c r="F49" s="192">
        <f t="shared" si="21"/>
        <v>540</v>
      </c>
      <c r="G49" s="192">
        <f t="shared" si="21"/>
        <v>10479</v>
      </c>
      <c r="H49" s="192">
        <f t="shared" si="21"/>
        <v>11019</v>
      </c>
      <c r="I49" s="192">
        <f t="shared" si="21"/>
        <v>540</v>
      </c>
      <c r="J49" s="192">
        <f t="shared" si="21"/>
        <v>10738</v>
      </c>
      <c r="K49" s="192">
        <f t="shared" si="21"/>
        <v>11278</v>
      </c>
      <c r="L49" s="192">
        <f t="shared" si="21"/>
        <v>549</v>
      </c>
      <c r="M49" s="192">
        <f t="shared" si="21"/>
        <v>11054</v>
      </c>
      <c r="N49" s="192">
        <f t="shared" si="21"/>
        <v>11603</v>
      </c>
    </row>
  </sheetData>
  <mergeCells count="32">
    <mergeCell ref="A18:A20"/>
    <mergeCell ref="B18:B20"/>
    <mergeCell ref="C19:E19"/>
    <mergeCell ref="F19:H19"/>
    <mergeCell ref="L19:N19"/>
    <mergeCell ref="C18:N18"/>
    <mergeCell ref="I19:K19"/>
    <mergeCell ref="A2:A4"/>
    <mergeCell ref="B2:B4"/>
    <mergeCell ref="C3:E3"/>
    <mergeCell ref="F3:H3"/>
    <mergeCell ref="L3:N3"/>
    <mergeCell ref="C2:N2"/>
    <mergeCell ref="I3:K3"/>
    <mergeCell ref="P4:P5"/>
    <mergeCell ref="Q4:Q5"/>
    <mergeCell ref="R4:R5"/>
    <mergeCell ref="S4:S5"/>
    <mergeCell ref="P19:P20"/>
    <mergeCell ref="Q19:Q20"/>
    <mergeCell ref="R19:R20"/>
    <mergeCell ref="S19:S20"/>
    <mergeCell ref="P16:Q16"/>
    <mergeCell ref="P31:Q31"/>
    <mergeCell ref="A35:N35"/>
    <mergeCell ref="A36:A38"/>
    <mergeCell ref="B36:B38"/>
    <mergeCell ref="C36:N36"/>
    <mergeCell ref="C37:E37"/>
    <mergeCell ref="F37:H37"/>
    <mergeCell ref="I37:K37"/>
    <mergeCell ref="L37:N37"/>
  </mergeCells>
  <pageMargins left="0.7" right="0.37" top="0.74803149606299213" bottom="0.74803149606299213" header="0.31496062992125984" footer="0.31496062992125984"/>
  <pageSetup scale="98" orientation="landscape" horizontalDpi="360" verticalDpi="360" r:id="rId1"/>
  <rowBreaks count="1" manualBreakCount="1">
    <brk id="32" max="19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view="pageBreakPreview" topLeftCell="A46" zoomScale="96" zoomScaleSheetLayoutView="96" workbookViewId="0">
      <selection activeCell="B54" sqref="B54"/>
    </sheetView>
  </sheetViews>
  <sheetFormatPr defaultRowHeight="15"/>
  <cols>
    <col min="1" max="1" width="6.7109375" customWidth="1"/>
    <col min="2" max="2" width="27.85546875" customWidth="1"/>
    <col min="3" max="3" width="13.5703125" customWidth="1"/>
    <col min="4" max="4" width="8.28515625" customWidth="1"/>
    <col min="6" max="6" width="7.28515625" customWidth="1"/>
    <col min="7" max="7" width="7.140625" customWidth="1"/>
    <col min="9" max="9" width="35.28515625" customWidth="1"/>
    <col min="10" max="10" width="25.7109375" customWidth="1"/>
    <col min="11" max="11" width="11" customWidth="1"/>
  </cols>
  <sheetData>
    <row r="1" spans="1:11">
      <c r="A1" s="276" t="s">
        <v>387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ht="15.75">
      <c r="A2" s="284" t="s">
        <v>1</v>
      </c>
      <c r="B2" s="286" t="s">
        <v>58</v>
      </c>
      <c r="C2" s="287" t="s">
        <v>296</v>
      </c>
      <c r="D2" s="285" t="s">
        <v>59</v>
      </c>
      <c r="E2" s="285"/>
      <c r="F2" s="287" t="s">
        <v>60</v>
      </c>
      <c r="G2" s="287"/>
      <c r="H2" s="82" t="s">
        <v>61</v>
      </c>
      <c r="I2" s="286" t="s">
        <v>64</v>
      </c>
      <c r="J2" s="284" t="s">
        <v>295</v>
      </c>
      <c r="K2" s="284" t="s">
        <v>65</v>
      </c>
    </row>
    <row r="3" spans="1:11" ht="15.75">
      <c r="A3" s="284"/>
      <c r="B3" s="286"/>
      <c r="C3" s="287"/>
      <c r="D3" s="285"/>
      <c r="E3" s="285"/>
      <c r="F3" s="287"/>
      <c r="G3" s="287"/>
      <c r="H3" s="82" t="s">
        <v>62</v>
      </c>
      <c r="I3" s="286"/>
      <c r="J3" s="284"/>
      <c r="K3" s="284"/>
    </row>
    <row r="4" spans="1:11" ht="15.75">
      <c r="A4" s="284"/>
      <c r="B4" s="286"/>
      <c r="C4" s="287"/>
      <c r="D4" s="285" t="s">
        <v>66</v>
      </c>
      <c r="E4" s="82" t="s">
        <v>67</v>
      </c>
      <c r="F4" s="285" t="s">
        <v>69</v>
      </c>
      <c r="G4" s="285" t="s">
        <v>70</v>
      </c>
      <c r="H4" s="82" t="s">
        <v>63</v>
      </c>
      <c r="I4" s="286"/>
      <c r="J4" s="284"/>
      <c r="K4" s="284"/>
    </row>
    <row r="5" spans="1:11" ht="15.75">
      <c r="A5" s="284"/>
      <c r="B5" s="286"/>
      <c r="C5" s="287"/>
      <c r="D5" s="285"/>
      <c r="E5" s="82" t="s">
        <v>68</v>
      </c>
      <c r="F5" s="285"/>
      <c r="G5" s="285"/>
      <c r="H5" s="83"/>
      <c r="I5" s="286"/>
      <c r="J5" s="284"/>
      <c r="K5" s="284"/>
    </row>
    <row r="6" spans="1:11" ht="15.75">
      <c r="A6" s="66" t="s">
        <v>71</v>
      </c>
      <c r="B6" s="282" t="s">
        <v>72</v>
      </c>
      <c r="C6" s="282"/>
      <c r="D6" s="282"/>
      <c r="E6" s="282"/>
      <c r="F6" s="282"/>
      <c r="G6" s="282"/>
      <c r="H6" s="282"/>
      <c r="I6" s="282"/>
      <c r="J6" s="282"/>
      <c r="K6" s="67"/>
    </row>
    <row r="7" spans="1:11" ht="15.75">
      <c r="A7" s="68" t="s">
        <v>73</v>
      </c>
      <c r="B7" s="283" t="s">
        <v>74</v>
      </c>
      <c r="C7" s="283"/>
      <c r="D7" s="283"/>
      <c r="E7" s="283"/>
      <c r="F7" s="283"/>
      <c r="G7" s="283"/>
      <c r="H7" s="283"/>
      <c r="I7" s="283"/>
      <c r="J7" s="283"/>
      <c r="K7" s="283"/>
    </row>
    <row r="8" spans="1:11" ht="31.5">
      <c r="A8" s="69">
        <v>1</v>
      </c>
      <c r="B8" s="70" t="s">
        <v>75</v>
      </c>
      <c r="C8" s="71">
        <v>2008</v>
      </c>
      <c r="D8" s="72">
        <v>8500</v>
      </c>
      <c r="E8" s="72">
        <v>1675</v>
      </c>
      <c r="F8" s="71">
        <v>154</v>
      </c>
      <c r="G8" s="71">
        <v>6</v>
      </c>
      <c r="H8" s="71">
        <v>655</v>
      </c>
      <c r="I8" s="70" t="s">
        <v>76</v>
      </c>
      <c r="J8" s="73" t="s">
        <v>77</v>
      </c>
      <c r="K8" s="71" t="s">
        <v>78</v>
      </c>
    </row>
    <row r="9" spans="1:11" ht="47.25">
      <c r="A9" s="69">
        <v>2</v>
      </c>
      <c r="B9" s="70" t="s">
        <v>79</v>
      </c>
      <c r="C9" s="73" t="s">
        <v>80</v>
      </c>
      <c r="D9" s="72">
        <v>10000</v>
      </c>
      <c r="E9" s="71">
        <v>722</v>
      </c>
      <c r="F9" s="71">
        <v>33</v>
      </c>
      <c r="G9" s="71">
        <v>1</v>
      </c>
      <c r="H9" s="71">
        <v>125</v>
      </c>
      <c r="I9" s="70" t="s">
        <v>81</v>
      </c>
      <c r="J9" s="73" t="s">
        <v>82</v>
      </c>
      <c r="K9" s="71" t="s">
        <v>78</v>
      </c>
    </row>
    <row r="10" spans="1:11" ht="72" customHeight="1">
      <c r="A10" s="69">
        <v>3</v>
      </c>
      <c r="B10" s="70" t="s">
        <v>83</v>
      </c>
      <c r="C10" s="71">
        <v>1984</v>
      </c>
      <c r="D10" s="72">
        <v>12960</v>
      </c>
      <c r="E10" s="72">
        <v>1596</v>
      </c>
      <c r="F10" s="71">
        <v>28</v>
      </c>
      <c r="G10" s="71">
        <v>5</v>
      </c>
      <c r="H10" s="71">
        <v>588</v>
      </c>
      <c r="I10" s="70" t="s">
        <v>84</v>
      </c>
      <c r="J10" s="73" t="s">
        <v>77</v>
      </c>
      <c r="K10" s="71" t="s">
        <v>78</v>
      </c>
    </row>
    <row r="11" spans="1:11" ht="31.5">
      <c r="A11" s="69">
        <v>4</v>
      </c>
      <c r="B11" s="70" t="s">
        <v>85</v>
      </c>
      <c r="C11" s="71">
        <v>2010</v>
      </c>
      <c r="D11" s="71">
        <v>1.0229999999999999</v>
      </c>
      <c r="E11" s="71">
        <v>440</v>
      </c>
      <c r="F11" s="71">
        <v>4</v>
      </c>
      <c r="G11" s="71">
        <v>1</v>
      </c>
      <c r="H11" s="71">
        <v>57</v>
      </c>
      <c r="I11" s="70" t="s">
        <v>86</v>
      </c>
      <c r="J11" s="73" t="s">
        <v>77</v>
      </c>
      <c r="K11" s="71" t="s">
        <v>78</v>
      </c>
    </row>
    <row r="12" spans="1:11" ht="15.75">
      <c r="A12" s="68" t="s">
        <v>87</v>
      </c>
      <c r="B12" s="283" t="s">
        <v>88</v>
      </c>
      <c r="C12" s="283"/>
      <c r="D12" s="283"/>
      <c r="E12" s="283"/>
      <c r="F12" s="283"/>
      <c r="G12" s="283"/>
      <c r="H12" s="283"/>
      <c r="I12" s="283"/>
      <c r="J12" s="283"/>
      <c r="K12" s="283"/>
    </row>
    <row r="13" spans="1:11" ht="64.5" customHeight="1">
      <c r="A13" s="69">
        <v>5</v>
      </c>
      <c r="B13" s="70" t="s">
        <v>89</v>
      </c>
      <c r="C13" s="71">
        <v>1976</v>
      </c>
      <c r="D13" s="72">
        <v>1720</v>
      </c>
      <c r="E13" s="71">
        <v>400</v>
      </c>
      <c r="F13" s="71">
        <v>3</v>
      </c>
      <c r="G13" s="71">
        <v>1</v>
      </c>
      <c r="H13" s="71">
        <v>62</v>
      </c>
      <c r="I13" s="70" t="s">
        <v>90</v>
      </c>
      <c r="J13" s="71" t="s">
        <v>91</v>
      </c>
      <c r="K13" s="71" t="s">
        <v>78</v>
      </c>
    </row>
    <row r="14" spans="1:11" ht="66.75" customHeight="1">
      <c r="A14" s="69">
        <v>6</v>
      </c>
      <c r="B14" s="70" t="s">
        <v>92</v>
      </c>
      <c r="C14" s="71">
        <v>1975</v>
      </c>
      <c r="D14" s="72">
        <v>1340</v>
      </c>
      <c r="E14" s="71">
        <v>361</v>
      </c>
      <c r="F14" s="71" t="s">
        <v>93</v>
      </c>
      <c r="G14" s="71">
        <v>1</v>
      </c>
      <c r="H14" s="71">
        <v>45</v>
      </c>
      <c r="I14" s="70" t="s">
        <v>94</v>
      </c>
      <c r="J14" s="71" t="s">
        <v>95</v>
      </c>
      <c r="K14" s="71" t="s">
        <v>78</v>
      </c>
    </row>
    <row r="15" spans="1:11" ht="15.75">
      <c r="A15" s="74" t="s">
        <v>96</v>
      </c>
      <c r="B15" s="283" t="s">
        <v>97</v>
      </c>
      <c r="C15" s="283"/>
      <c r="D15" s="283"/>
      <c r="E15" s="283"/>
      <c r="F15" s="283"/>
      <c r="G15" s="283"/>
      <c r="H15" s="283"/>
      <c r="I15" s="283"/>
      <c r="J15" s="283"/>
      <c r="K15" s="283"/>
    </row>
    <row r="16" spans="1:11" ht="47.25">
      <c r="A16" s="69">
        <v>7</v>
      </c>
      <c r="B16" s="70" t="s">
        <v>98</v>
      </c>
      <c r="C16" s="71">
        <v>2007</v>
      </c>
      <c r="D16" s="72">
        <v>8768</v>
      </c>
      <c r="E16" s="72">
        <v>1913</v>
      </c>
      <c r="F16" s="71">
        <v>84</v>
      </c>
      <c r="G16" s="71">
        <v>5</v>
      </c>
      <c r="H16" s="71">
        <v>587</v>
      </c>
      <c r="I16" s="70" t="s">
        <v>99</v>
      </c>
      <c r="J16" s="73" t="s">
        <v>100</v>
      </c>
      <c r="K16" s="71" t="s">
        <v>78</v>
      </c>
    </row>
    <row r="17" spans="1:11" ht="75" customHeight="1">
      <c r="A17" s="69">
        <v>8</v>
      </c>
      <c r="B17" s="70" t="s">
        <v>101</v>
      </c>
      <c r="C17" s="73" t="s">
        <v>102</v>
      </c>
      <c r="D17" s="71">
        <v>810</v>
      </c>
      <c r="E17" s="71">
        <v>225</v>
      </c>
      <c r="F17" s="71" t="s">
        <v>93</v>
      </c>
      <c r="G17" s="71">
        <v>2</v>
      </c>
      <c r="H17" s="71">
        <v>99</v>
      </c>
      <c r="I17" s="70" t="s">
        <v>103</v>
      </c>
      <c r="J17" s="73" t="s">
        <v>104</v>
      </c>
      <c r="K17" s="71" t="s">
        <v>78</v>
      </c>
    </row>
    <row r="18" spans="1:11" ht="66" customHeight="1">
      <c r="A18" s="69">
        <v>9</v>
      </c>
      <c r="B18" s="70" t="s">
        <v>105</v>
      </c>
      <c r="C18" s="73" t="s">
        <v>106</v>
      </c>
      <c r="D18" s="72">
        <v>2750</v>
      </c>
      <c r="E18" s="71">
        <v>729</v>
      </c>
      <c r="F18" s="71" t="s">
        <v>93</v>
      </c>
      <c r="G18" s="71">
        <v>3</v>
      </c>
      <c r="H18" s="71">
        <v>27</v>
      </c>
      <c r="I18" s="70" t="s">
        <v>107</v>
      </c>
      <c r="J18" s="73" t="s">
        <v>108</v>
      </c>
      <c r="K18" s="71" t="s">
        <v>78</v>
      </c>
    </row>
    <row r="19" spans="1:11" ht="15.75">
      <c r="A19" s="281">
        <v>10</v>
      </c>
      <c r="B19" s="278" t="s">
        <v>109</v>
      </c>
      <c r="C19" s="71">
        <v>2010</v>
      </c>
      <c r="D19" s="288">
        <v>1200</v>
      </c>
      <c r="E19" s="277">
        <v>200</v>
      </c>
      <c r="F19" s="277" t="s">
        <v>93</v>
      </c>
      <c r="G19" s="277">
        <v>2</v>
      </c>
      <c r="H19" s="277">
        <v>54</v>
      </c>
      <c r="I19" s="278" t="s">
        <v>111</v>
      </c>
      <c r="J19" s="279" t="s">
        <v>112</v>
      </c>
      <c r="K19" s="277" t="s">
        <v>78</v>
      </c>
    </row>
    <row r="20" spans="1:11" ht="15.75">
      <c r="A20" s="281"/>
      <c r="B20" s="278"/>
      <c r="C20" s="71" t="s">
        <v>110</v>
      </c>
      <c r="D20" s="288"/>
      <c r="E20" s="277"/>
      <c r="F20" s="277"/>
      <c r="G20" s="277"/>
      <c r="H20" s="277"/>
      <c r="I20" s="278"/>
      <c r="J20" s="279"/>
      <c r="K20" s="277"/>
    </row>
    <row r="21" spans="1:11" ht="15.75">
      <c r="A21" s="68" t="s">
        <v>113</v>
      </c>
      <c r="B21" s="283" t="s">
        <v>114</v>
      </c>
      <c r="C21" s="283"/>
      <c r="D21" s="283"/>
      <c r="E21" s="283"/>
      <c r="F21" s="283"/>
      <c r="G21" s="283"/>
      <c r="H21" s="283"/>
      <c r="I21" s="283"/>
      <c r="J21" s="283"/>
      <c r="K21" s="283"/>
    </row>
    <row r="22" spans="1:11" ht="47.25" customHeight="1">
      <c r="A22" s="75"/>
      <c r="B22" s="76" t="s">
        <v>115</v>
      </c>
      <c r="C22" s="71">
        <v>1974</v>
      </c>
      <c r="D22" s="71">
        <v>800</v>
      </c>
      <c r="E22" s="71">
        <v>412</v>
      </c>
      <c r="F22" s="71" t="s">
        <v>93</v>
      </c>
      <c r="G22" s="71">
        <v>2</v>
      </c>
      <c r="H22" s="75"/>
      <c r="I22" s="70" t="s">
        <v>116</v>
      </c>
      <c r="J22" s="73" t="s">
        <v>100</v>
      </c>
      <c r="K22" s="71" t="s">
        <v>78</v>
      </c>
    </row>
    <row r="23" spans="1:11" ht="15.75">
      <c r="A23" s="281">
        <v>11</v>
      </c>
      <c r="B23" s="278" t="s">
        <v>117</v>
      </c>
      <c r="C23" s="71">
        <v>2012</v>
      </c>
      <c r="D23" s="288">
        <v>10000</v>
      </c>
      <c r="E23" s="277">
        <v>448</v>
      </c>
      <c r="F23" s="277">
        <v>10</v>
      </c>
      <c r="G23" s="277">
        <v>2</v>
      </c>
      <c r="H23" s="277">
        <v>199</v>
      </c>
      <c r="I23" s="278" t="s">
        <v>119</v>
      </c>
      <c r="J23" s="279" t="s">
        <v>100</v>
      </c>
      <c r="K23" s="280"/>
    </row>
    <row r="24" spans="1:11" ht="31.5">
      <c r="A24" s="281"/>
      <c r="B24" s="278"/>
      <c r="C24" s="73" t="s">
        <v>118</v>
      </c>
      <c r="D24" s="288"/>
      <c r="E24" s="277"/>
      <c r="F24" s="277"/>
      <c r="G24" s="277"/>
      <c r="H24" s="277"/>
      <c r="I24" s="278"/>
      <c r="J24" s="279"/>
      <c r="K24" s="280"/>
    </row>
    <row r="25" spans="1:11" ht="81" customHeight="1">
      <c r="A25" s="69">
        <v>12</v>
      </c>
      <c r="B25" s="70" t="s">
        <v>120</v>
      </c>
      <c r="C25" s="73" t="s">
        <v>121</v>
      </c>
      <c r="D25" s="72">
        <v>9400</v>
      </c>
      <c r="E25" s="71">
        <v>760</v>
      </c>
      <c r="F25" s="71">
        <v>29</v>
      </c>
      <c r="G25" s="71">
        <v>3</v>
      </c>
      <c r="H25" s="71">
        <v>134</v>
      </c>
      <c r="I25" s="70" t="s">
        <v>122</v>
      </c>
      <c r="J25" s="73" t="s">
        <v>100</v>
      </c>
      <c r="K25" s="71" t="s">
        <v>78</v>
      </c>
    </row>
    <row r="26" spans="1:11" ht="31.5">
      <c r="A26" s="69">
        <v>13</v>
      </c>
      <c r="B26" s="70" t="s">
        <v>123</v>
      </c>
      <c r="C26" s="71">
        <v>1980</v>
      </c>
      <c r="D26" s="71" t="s">
        <v>93</v>
      </c>
      <c r="E26" s="71" t="s">
        <v>93</v>
      </c>
      <c r="F26" s="71" t="s">
        <v>93</v>
      </c>
      <c r="G26" s="71">
        <v>2</v>
      </c>
      <c r="H26" s="71">
        <v>112</v>
      </c>
      <c r="I26" s="70" t="s">
        <v>124</v>
      </c>
      <c r="J26" s="73" t="s">
        <v>100</v>
      </c>
      <c r="K26" s="71" t="s">
        <v>78</v>
      </c>
    </row>
    <row r="27" spans="1:11" ht="15.75">
      <c r="A27" s="68" t="s">
        <v>125</v>
      </c>
      <c r="B27" s="283" t="s">
        <v>126</v>
      </c>
      <c r="C27" s="283"/>
      <c r="D27" s="283"/>
      <c r="E27" s="283"/>
      <c r="F27" s="283"/>
      <c r="G27" s="283"/>
      <c r="H27" s="283"/>
      <c r="I27" s="283"/>
      <c r="J27" s="283"/>
      <c r="K27" s="283"/>
    </row>
    <row r="28" spans="1:11" ht="84" customHeight="1">
      <c r="A28" s="69">
        <v>14</v>
      </c>
      <c r="B28" s="77" t="s">
        <v>127</v>
      </c>
      <c r="C28" s="71">
        <v>2002</v>
      </c>
      <c r="D28" s="72">
        <v>13528</v>
      </c>
      <c r="E28" s="72">
        <v>1764</v>
      </c>
      <c r="F28" s="71">
        <v>24</v>
      </c>
      <c r="G28" s="71">
        <v>14</v>
      </c>
      <c r="H28" s="71">
        <v>975</v>
      </c>
      <c r="I28" s="70" t="s">
        <v>128</v>
      </c>
      <c r="J28" s="73" t="s">
        <v>100</v>
      </c>
      <c r="K28" s="71" t="s">
        <v>78</v>
      </c>
    </row>
    <row r="29" spans="1:11" ht="51.75" customHeight="1">
      <c r="A29" s="75"/>
      <c r="B29" s="76" t="s">
        <v>129</v>
      </c>
      <c r="C29" s="75"/>
      <c r="D29" s="72">
        <v>1057</v>
      </c>
      <c r="E29" s="71">
        <v>300</v>
      </c>
      <c r="F29" s="71" t="s">
        <v>93</v>
      </c>
      <c r="G29" s="71">
        <v>2</v>
      </c>
      <c r="H29" s="71">
        <v>25</v>
      </c>
      <c r="I29" s="70" t="s">
        <v>130</v>
      </c>
      <c r="J29" s="73" t="s">
        <v>100</v>
      </c>
      <c r="K29" s="71" t="s">
        <v>78</v>
      </c>
    </row>
    <row r="30" spans="1:11" ht="68.25" customHeight="1">
      <c r="A30" s="69">
        <v>15</v>
      </c>
      <c r="B30" s="70" t="s">
        <v>131</v>
      </c>
      <c r="C30" s="73" t="s">
        <v>132</v>
      </c>
      <c r="D30" s="72">
        <v>1606</v>
      </c>
      <c r="E30" s="71">
        <v>409</v>
      </c>
      <c r="F30" s="71" t="s">
        <v>93</v>
      </c>
      <c r="G30" s="71">
        <v>2</v>
      </c>
      <c r="H30" s="71">
        <v>66</v>
      </c>
      <c r="I30" s="70" t="s">
        <v>133</v>
      </c>
      <c r="J30" s="73" t="s">
        <v>100</v>
      </c>
      <c r="K30" s="71" t="s">
        <v>78</v>
      </c>
    </row>
    <row r="31" spans="1:11" ht="31.5">
      <c r="A31" s="69">
        <v>16</v>
      </c>
      <c r="B31" s="70" t="s">
        <v>134</v>
      </c>
      <c r="C31" s="71">
        <v>1973</v>
      </c>
      <c r="D31" s="71">
        <v>888</v>
      </c>
      <c r="E31" s="71">
        <v>289</v>
      </c>
      <c r="F31" s="71" t="s">
        <v>93</v>
      </c>
      <c r="G31" s="71">
        <v>2</v>
      </c>
      <c r="H31" s="71">
        <v>76</v>
      </c>
      <c r="I31" s="70" t="s">
        <v>135</v>
      </c>
      <c r="J31" s="73" t="s">
        <v>100</v>
      </c>
      <c r="K31" s="71" t="s">
        <v>78</v>
      </c>
    </row>
    <row r="32" spans="1:11" ht="15.75">
      <c r="A32" s="68" t="s">
        <v>136</v>
      </c>
      <c r="B32" s="283" t="s">
        <v>137</v>
      </c>
      <c r="C32" s="283"/>
      <c r="D32" s="283"/>
      <c r="E32" s="283"/>
      <c r="F32" s="283"/>
      <c r="G32" s="283"/>
      <c r="H32" s="283"/>
      <c r="I32" s="283"/>
      <c r="J32" s="283"/>
      <c r="K32" s="283"/>
    </row>
    <row r="33" spans="1:11" ht="54.75" customHeight="1">
      <c r="A33" s="71">
        <v>17</v>
      </c>
      <c r="B33" s="70" t="s">
        <v>138</v>
      </c>
      <c r="C33" s="73" t="s">
        <v>139</v>
      </c>
      <c r="D33" s="72">
        <v>11805</v>
      </c>
      <c r="E33" s="72">
        <v>2650</v>
      </c>
      <c r="F33" s="71">
        <v>32</v>
      </c>
      <c r="G33" s="71">
        <v>9</v>
      </c>
      <c r="H33" s="71">
        <v>395</v>
      </c>
      <c r="I33" s="70" t="s">
        <v>140</v>
      </c>
      <c r="J33" s="73" t="s">
        <v>100</v>
      </c>
      <c r="K33" s="71" t="s">
        <v>78</v>
      </c>
    </row>
    <row r="34" spans="1:11" ht="47.25">
      <c r="A34" s="71">
        <v>18</v>
      </c>
      <c r="B34" s="70" t="s">
        <v>141</v>
      </c>
      <c r="C34" s="71">
        <v>2010</v>
      </c>
      <c r="D34" s="72">
        <v>3000</v>
      </c>
      <c r="E34" s="71">
        <v>400</v>
      </c>
      <c r="F34" s="71">
        <v>4</v>
      </c>
      <c r="G34" s="71">
        <v>1</v>
      </c>
      <c r="H34" s="71">
        <v>155</v>
      </c>
      <c r="I34" s="70" t="s">
        <v>142</v>
      </c>
      <c r="J34" s="73" t="s">
        <v>100</v>
      </c>
      <c r="K34" s="71" t="s">
        <v>78</v>
      </c>
    </row>
    <row r="35" spans="1:11" ht="86.25" customHeight="1">
      <c r="A35" s="71">
        <v>19</v>
      </c>
      <c r="B35" s="70" t="s">
        <v>143</v>
      </c>
      <c r="C35" s="73" t="s">
        <v>144</v>
      </c>
      <c r="D35" s="71">
        <v>495</v>
      </c>
      <c r="E35" s="71">
        <v>352</v>
      </c>
      <c r="F35" s="71" t="s">
        <v>93</v>
      </c>
      <c r="G35" s="71">
        <v>1</v>
      </c>
      <c r="H35" s="71">
        <v>79</v>
      </c>
      <c r="I35" s="70" t="s">
        <v>145</v>
      </c>
      <c r="J35" s="73" t="s">
        <v>100</v>
      </c>
      <c r="K35" s="71" t="s">
        <v>78</v>
      </c>
    </row>
    <row r="36" spans="1:11" ht="15.75">
      <c r="A36" s="68" t="s">
        <v>146</v>
      </c>
      <c r="B36" s="283" t="s">
        <v>147</v>
      </c>
      <c r="C36" s="283"/>
      <c r="D36" s="283"/>
      <c r="E36" s="283"/>
      <c r="F36" s="283"/>
      <c r="G36" s="283"/>
      <c r="H36" s="283"/>
      <c r="I36" s="283"/>
      <c r="J36" s="283"/>
      <c r="K36" s="283"/>
    </row>
    <row r="37" spans="1:11" ht="53.25" customHeight="1">
      <c r="A37" s="71">
        <v>20</v>
      </c>
      <c r="B37" s="70" t="s">
        <v>148</v>
      </c>
      <c r="C37" s="71">
        <v>1988</v>
      </c>
      <c r="D37" s="72">
        <v>5312</v>
      </c>
      <c r="E37" s="71">
        <v>885</v>
      </c>
      <c r="F37" s="71">
        <v>23</v>
      </c>
      <c r="G37" s="71">
        <v>3</v>
      </c>
      <c r="H37" s="71">
        <v>135</v>
      </c>
      <c r="I37" s="70" t="s">
        <v>149</v>
      </c>
      <c r="J37" s="73" t="s">
        <v>150</v>
      </c>
      <c r="K37" s="71" t="s">
        <v>78</v>
      </c>
    </row>
    <row r="38" spans="1:11" ht="67.5" customHeight="1">
      <c r="A38" s="75"/>
      <c r="B38" s="76" t="s">
        <v>151</v>
      </c>
      <c r="C38" s="71">
        <v>1963</v>
      </c>
      <c r="D38" s="72">
        <v>1146</v>
      </c>
      <c r="E38" s="71">
        <v>330</v>
      </c>
      <c r="F38" s="71" t="s">
        <v>93</v>
      </c>
      <c r="G38" s="71">
        <v>2</v>
      </c>
      <c r="H38" s="75"/>
      <c r="I38" s="70" t="s">
        <v>152</v>
      </c>
      <c r="J38" s="73" t="s">
        <v>150</v>
      </c>
      <c r="K38" s="71" t="s">
        <v>78</v>
      </c>
    </row>
    <row r="39" spans="1:11" ht="66" customHeight="1">
      <c r="A39" s="71">
        <v>21</v>
      </c>
      <c r="B39" s="70" t="s">
        <v>153</v>
      </c>
      <c r="C39" s="71">
        <v>2014</v>
      </c>
      <c r="D39" s="75"/>
      <c r="E39" s="75"/>
      <c r="F39" s="75"/>
      <c r="G39" s="71">
        <v>2</v>
      </c>
      <c r="H39" s="71">
        <v>65</v>
      </c>
      <c r="I39" s="70" t="s">
        <v>154</v>
      </c>
      <c r="J39" s="73" t="s">
        <v>155</v>
      </c>
      <c r="K39" s="71" t="s">
        <v>78</v>
      </c>
    </row>
    <row r="40" spans="1:11" ht="15.75">
      <c r="A40" s="68" t="s">
        <v>156</v>
      </c>
      <c r="B40" s="283" t="s">
        <v>157</v>
      </c>
      <c r="C40" s="283"/>
      <c r="D40" s="283"/>
      <c r="E40" s="283"/>
      <c r="F40" s="283"/>
      <c r="G40" s="283"/>
      <c r="H40" s="283"/>
      <c r="I40" s="283"/>
      <c r="J40" s="283"/>
      <c r="K40" s="283"/>
    </row>
    <row r="41" spans="1:11" ht="53.25" customHeight="1">
      <c r="A41" s="71">
        <v>22</v>
      </c>
      <c r="B41" s="70" t="s">
        <v>158</v>
      </c>
      <c r="C41" s="71">
        <v>2010</v>
      </c>
      <c r="D41" s="72">
        <v>12500</v>
      </c>
      <c r="E41" s="72">
        <v>1450</v>
      </c>
      <c r="F41" s="71">
        <v>43</v>
      </c>
      <c r="G41" s="71">
        <v>4</v>
      </c>
      <c r="H41" s="71">
        <v>146</v>
      </c>
      <c r="I41" s="70" t="s">
        <v>159</v>
      </c>
      <c r="J41" s="71" t="s">
        <v>150</v>
      </c>
      <c r="K41" s="71" t="s">
        <v>78</v>
      </c>
    </row>
    <row r="42" spans="1:11" ht="54.75" customHeight="1">
      <c r="A42" s="71">
        <v>23</v>
      </c>
      <c r="B42" s="70" t="s">
        <v>160</v>
      </c>
      <c r="C42" s="71" t="s">
        <v>161</v>
      </c>
      <c r="D42" s="72">
        <v>1440</v>
      </c>
      <c r="E42" s="71">
        <v>648</v>
      </c>
      <c r="F42" s="71">
        <v>15</v>
      </c>
      <c r="G42" s="71">
        <v>7</v>
      </c>
      <c r="H42" s="71">
        <v>65</v>
      </c>
      <c r="I42" s="70" t="s">
        <v>162</v>
      </c>
      <c r="J42" s="71" t="s">
        <v>150</v>
      </c>
      <c r="K42" s="71" t="s">
        <v>78</v>
      </c>
    </row>
    <row r="43" spans="1:11" ht="31.5">
      <c r="A43" s="71">
        <v>24</v>
      </c>
      <c r="B43" s="70" t="s">
        <v>163</v>
      </c>
      <c r="C43" s="71">
        <v>2009</v>
      </c>
      <c r="D43" s="72">
        <v>4000</v>
      </c>
      <c r="E43" s="71">
        <v>778</v>
      </c>
      <c r="F43" s="71">
        <v>33</v>
      </c>
      <c r="G43" s="71">
        <v>2</v>
      </c>
      <c r="H43" s="71">
        <v>45</v>
      </c>
      <c r="I43" s="70" t="s">
        <v>164</v>
      </c>
      <c r="J43" s="71" t="s">
        <v>165</v>
      </c>
      <c r="K43" s="71" t="s">
        <v>78</v>
      </c>
    </row>
    <row r="44" spans="1:11" ht="31.5">
      <c r="A44" s="71">
        <v>25</v>
      </c>
      <c r="B44" s="70" t="s">
        <v>166</v>
      </c>
      <c r="C44" s="75"/>
      <c r="D44" s="75"/>
      <c r="E44" s="75"/>
      <c r="F44" s="75"/>
      <c r="G44" s="75"/>
      <c r="H44" s="75"/>
      <c r="I44" s="70" t="s">
        <v>167</v>
      </c>
      <c r="J44" s="71" t="s">
        <v>165</v>
      </c>
      <c r="K44" s="71" t="s">
        <v>78</v>
      </c>
    </row>
    <row r="45" spans="1:11" ht="15.75">
      <c r="A45" s="68" t="s">
        <v>168</v>
      </c>
      <c r="B45" s="283" t="s">
        <v>169</v>
      </c>
      <c r="C45" s="283"/>
      <c r="D45" s="283"/>
      <c r="E45" s="283"/>
      <c r="F45" s="283"/>
      <c r="G45" s="283"/>
      <c r="H45" s="283"/>
      <c r="I45" s="283"/>
      <c r="J45" s="283"/>
      <c r="K45" s="283"/>
    </row>
    <row r="46" spans="1:11" ht="47.25">
      <c r="A46" s="71">
        <v>26</v>
      </c>
      <c r="B46" s="70" t="s">
        <v>170</v>
      </c>
      <c r="C46" s="71">
        <v>1988</v>
      </c>
      <c r="D46" s="72">
        <v>8375</v>
      </c>
      <c r="E46" s="71">
        <v>486</v>
      </c>
      <c r="F46" s="71">
        <v>12</v>
      </c>
      <c r="G46" s="71">
        <v>2</v>
      </c>
      <c r="H46" s="71">
        <v>146</v>
      </c>
      <c r="I46" s="70" t="s">
        <v>171</v>
      </c>
      <c r="J46" s="73" t="s">
        <v>150</v>
      </c>
      <c r="K46" s="71" t="s">
        <v>78</v>
      </c>
    </row>
    <row r="47" spans="1:11" ht="56.25" customHeight="1">
      <c r="A47" s="71">
        <v>27</v>
      </c>
      <c r="B47" s="70" t="s">
        <v>172</v>
      </c>
      <c r="C47" s="71">
        <v>1980</v>
      </c>
      <c r="D47" s="72">
        <v>1947</v>
      </c>
      <c r="E47" s="71">
        <v>440</v>
      </c>
      <c r="F47" s="71" t="s">
        <v>93</v>
      </c>
      <c r="G47" s="71">
        <v>2</v>
      </c>
      <c r="H47" s="71">
        <v>76</v>
      </c>
      <c r="I47" s="70" t="s">
        <v>173</v>
      </c>
      <c r="J47" s="73" t="s">
        <v>150</v>
      </c>
      <c r="K47" s="71" t="s">
        <v>78</v>
      </c>
    </row>
    <row r="48" spans="1:11" ht="49.5" customHeight="1">
      <c r="A48" s="71">
        <v>28</v>
      </c>
      <c r="B48" s="70" t="s">
        <v>174</v>
      </c>
      <c r="C48" s="73" t="s">
        <v>175</v>
      </c>
      <c r="D48" s="72">
        <v>2717</v>
      </c>
      <c r="E48" s="71">
        <v>920</v>
      </c>
      <c r="F48" s="71">
        <v>23</v>
      </c>
      <c r="G48" s="71">
        <v>1</v>
      </c>
      <c r="H48" s="71">
        <v>177</v>
      </c>
      <c r="I48" s="70" t="s">
        <v>176</v>
      </c>
      <c r="J48" s="73" t="s">
        <v>150</v>
      </c>
      <c r="K48" s="71" t="s">
        <v>78</v>
      </c>
    </row>
    <row r="49" spans="1:11" ht="36.75" customHeight="1">
      <c r="A49" s="71">
        <v>29</v>
      </c>
      <c r="B49" s="70" t="s">
        <v>177</v>
      </c>
      <c r="C49" s="73" t="s">
        <v>178</v>
      </c>
      <c r="D49" s="71" t="s">
        <v>93</v>
      </c>
      <c r="E49" s="71" t="s">
        <v>93</v>
      </c>
      <c r="F49" s="71" t="s">
        <v>93</v>
      </c>
      <c r="G49" s="71">
        <v>2</v>
      </c>
      <c r="H49" s="71">
        <v>80</v>
      </c>
      <c r="I49" s="70" t="s">
        <v>179</v>
      </c>
      <c r="J49" s="73" t="s">
        <v>150</v>
      </c>
      <c r="K49" s="71" t="s">
        <v>180</v>
      </c>
    </row>
    <row r="50" spans="1:11" ht="15.75">
      <c r="A50" s="78">
        <v>30</v>
      </c>
      <c r="B50" s="76" t="s">
        <v>181</v>
      </c>
      <c r="C50" s="79"/>
      <c r="D50" s="79"/>
      <c r="E50" s="79"/>
      <c r="F50" s="79"/>
      <c r="G50" s="79"/>
      <c r="H50" s="79"/>
      <c r="I50" s="78" t="s">
        <v>182</v>
      </c>
      <c r="J50" s="79"/>
      <c r="K50" s="79"/>
    </row>
    <row r="51" spans="1:11" ht="31.5">
      <c r="A51" s="78">
        <v>31</v>
      </c>
      <c r="B51" s="76" t="s">
        <v>183</v>
      </c>
      <c r="C51" s="79"/>
      <c r="D51" s="79"/>
      <c r="E51" s="79"/>
      <c r="F51" s="79"/>
      <c r="G51" s="79"/>
      <c r="H51" s="79"/>
      <c r="I51" s="78" t="s">
        <v>182</v>
      </c>
      <c r="J51" s="79"/>
      <c r="K51" s="79"/>
    </row>
    <row r="52" spans="1:11" ht="31.5">
      <c r="A52" s="78">
        <v>32</v>
      </c>
      <c r="B52" s="76" t="s">
        <v>184</v>
      </c>
      <c r="C52" s="79"/>
      <c r="D52" s="79"/>
      <c r="E52" s="79"/>
      <c r="F52" s="79"/>
      <c r="G52" s="79"/>
      <c r="H52" s="79"/>
      <c r="I52" s="78" t="s">
        <v>182</v>
      </c>
      <c r="J52" s="79"/>
      <c r="K52" s="79"/>
    </row>
    <row r="53" spans="1:11" ht="15.75">
      <c r="A53" s="283" t="s">
        <v>185</v>
      </c>
      <c r="B53" s="283"/>
      <c r="C53" s="68">
        <v>32</v>
      </c>
      <c r="D53" s="80"/>
      <c r="E53" s="80"/>
      <c r="F53" s="80"/>
      <c r="G53" s="80"/>
      <c r="H53" s="81">
        <v>5450</v>
      </c>
      <c r="I53" s="80"/>
      <c r="J53" s="80"/>
      <c r="K53" s="80"/>
    </row>
  </sheetData>
  <mergeCells count="43">
    <mergeCell ref="I2:I5"/>
    <mergeCell ref="J2:J5"/>
    <mergeCell ref="C2:C5"/>
    <mergeCell ref="B40:K40"/>
    <mergeCell ref="B45:K45"/>
    <mergeCell ref="B23:B24"/>
    <mergeCell ref="D23:D24"/>
    <mergeCell ref="E23:E24"/>
    <mergeCell ref="F23:F24"/>
    <mergeCell ref="B19:B20"/>
    <mergeCell ref="D19:D20"/>
    <mergeCell ref="A53:B53"/>
    <mergeCell ref="B2:B5"/>
    <mergeCell ref="D2:E3"/>
    <mergeCell ref="F2:G3"/>
    <mergeCell ref="B32:K32"/>
    <mergeCell ref="B36:K36"/>
    <mergeCell ref="E19:E20"/>
    <mergeCell ref="F19:F20"/>
    <mergeCell ref="G19:G20"/>
    <mergeCell ref="G4:G5"/>
    <mergeCell ref="B27:K27"/>
    <mergeCell ref="H19:H20"/>
    <mergeCell ref="I19:I20"/>
    <mergeCell ref="J19:J20"/>
    <mergeCell ref="K19:K20"/>
    <mergeCell ref="B21:K21"/>
    <mergeCell ref="A1:K1"/>
    <mergeCell ref="G23:G24"/>
    <mergeCell ref="H23:H24"/>
    <mergeCell ref="I23:I24"/>
    <mergeCell ref="J23:J24"/>
    <mergeCell ref="K23:K24"/>
    <mergeCell ref="A23:A24"/>
    <mergeCell ref="B6:J6"/>
    <mergeCell ref="B7:K7"/>
    <mergeCell ref="B12:K12"/>
    <mergeCell ref="B15:K15"/>
    <mergeCell ref="A19:A20"/>
    <mergeCell ref="A2:A5"/>
    <mergeCell ref="K2:K5"/>
    <mergeCell ref="D4:D5"/>
    <mergeCell ref="F4:F5"/>
  </mergeCells>
  <pageMargins left="0.81" right="0.28999999999999998" top="0.56000000000000005" bottom="0.55000000000000004" header="0.31496062992125984" footer="0.31496062992125984"/>
  <pageSetup scale="75" orientation="landscape" horizontalDpi="360" verticalDpi="360" r:id="rId1"/>
  <rowBreaks count="3" manualBreakCount="3">
    <brk id="20" max="16383" man="1"/>
    <brk id="31" max="16383" man="1"/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view="pageBreakPreview" zoomScale="136" zoomScaleSheetLayoutView="136" workbookViewId="0">
      <selection activeCell="G27" sqref="G27"/>
    </sheetView>
  </sheetViews>
  <sheetFormatPr defaultRowHeight="15"/>
  <cols>
    <col min="1" max="1" width="4.7109375" customWidth="1"/>
    <col min="2" max="2" width="15.85546875" customWidth="1"/>
    <col min="3" max="3" width="17.7109375" customWidth="1"/>
    <col min="4" max="6" width="10.42578125" customWidth="1"/>
    <col min="7" max="7" width="31.85546875" customWidth="1"/>
  </cols>
  <sheetData>
    <row r="1" spans="1:7" ht="15.75">
      <c r="A1" s="301" t="s">
        <v>434</v>
      </c>
      <c r="B1" s="301"/>
      <c r="C1" s="301"/>
      <c r="D1" s="301"/>
      <c r="E1" s="301"/>
      <c r="F1" s="301"/>
      <c r="G1" s="301"/>
    </row>
    <row r="2" spans="1:7">
      <c r="A2" s="298" t="s">
        <v>1</v>
      </c>
      <c r="B2" s="298" t="s">
        <v>388</v>
      </c>
      <c r="C2" s="298" t="s">
        <v>389</v>
      </c>
      <c r="D2" s="302" t="s">
        <v>390</v>
      </c>
      <c r="E2" s="303"/>
      <c r="F2" s="304"/>
      <c r="G2" s="298" t="s">
        <v>391</v>
      </c>
    </row>
    <row r="3" spans="1:7">
      <c r="A3" s="299"/>
      <c r="B3" s="299"/>
      <c r="C3" s="299"/>
      <c r="D3" s="298" t="s">
        <v>392</v>
      </c>
      <c r="E3" s="302" t="s">
        <v>393</v>
      </c>
      <c r="F3" s="304"/>
      <c r="G3" s="299"/>
    </row>
    <row r="4" spans="1:7">
      <c r="A4" s="300"/>
      <c r="B4" s="300"/>
      <c r="C4" s="300"/>
      <c r="D4" s="300"/>
      <c r="E4" s="219" t="s">
        <v>394</v>
      </c>
      <c r="F4" s="219" t="s">
        <v>395</v>
      </c>
      <c r="G4" s="300"/>
    </row>
    <row r="5" spans="1:7">
      <c r="A5" s="289">
        <v>1</v>
      </c>
      <c r="B5" s="292" t="s">
        <v>13</v>
      </c>
      <c r="C5" s="98" t="s">
        <v>396</v>
      </c>
      <c r="D5" s="102">
        <v>5</v>
      </c>
      <c r="E5" s="102">
        <v>0</v>
      </c>
      <c r="F5" s="102">
        <v>5</v>
      </c>
      <c r="G5" s="98" t="s">
        <v>397</v>
      </c>
    </row>
    <row r="6" spans="1:7">
      <c r="A6" s="290"/>
      <c r="B6" s="293"/>
      <c r="C6" s="98" t="s">
        <v>13</v>
      </c>
      <c r="D6" s="196">
        <v>5</v>
      </c>
      <c r="E6" s="196">
        <v>5</v>
      </c>
      <c r="F6" s="196">
        <v>0</v>
      </c>
      <c r="G6" s="246" t="s">
        <v>398</v>
      </c>
    </row>
    <row r="7" spans="1:7">
      <c r="A7" s="291"/>
      <c r="B7" s="294"/>
      <c r="C7" s="98" t="s">
        <v>13</v>
      </c>
      <c r="D7" s="102">
        <v>26</v>
      </c>
      <c r="E7" s="102">
        <v>26</v>
      </c>
      <c r="F7" s="102">
        <v>0</v>
      </c>
      <c r="G7" s="98" t="s">
        <v>398</v>
      </c>
    </row>
    <row r="8" spans="1:7">
      <c r="A8" s="290"/>
      <c r="B8" s="293" t="s">
        <v>29</v>
      </c>
      <c r="C8" s="98" t="s">
        <v>400</v>
      </c>
      <c r="D8" s="102">
        <v>9</v>
      </c>
      <c r="E8" s="102">
        <v>1</v>
      </c>
      <c r="F8" s="102">
        <v>8</v>
      </c>
      <c r="G8" s="98" t="s">
        <v>401</v>
      </c>
    </row>
    <row r="9" spans="1:7">
      <c r="A9" s="290"/>
      <c r="B9" s="293"/>
      <c r="C9" s="98" t="s">
        <v>399</v>
      </c>
      <c r="D9" s="196">
        <v>5</v>
      </c>
      <c r="E9" s="196">
        <v>0</v>
      </c>
      <c r="F9" s="196">
        <v>5</v>
      </c>
      <c r="G9" s="246" t="s">
        <v>448</v>
      </c>
    </row>
    <row r="10" spans="1:7">
      <c r="A10" s="291"/>
      <c r="B10" s="294"/>
      <c r="C10" s="98" t="s">
        <v>402</v>
      </c>
      <c r="D10" s="102">
        <v>18</v>
      </c>
      <c r="E10" s="102">
        <v>16</v>
      </c>
      <c r="F10" s="102">
        <v>2</v>
      </c>
      <c r="G10" s="98" t="s">
        <v>403</v>
      </c>
    </row>
    <row r="11" spans="1:7">
      <c r="A11" s="102">
        <v>3</v>
      </c>
      <c r="B11" s="98" t="s">
        <v>38</v>
      </c>
      <c r="C11" s="98" t="s">
        <v>404</v>
      </c>
      <c r="D11" s="102">
        <v>6</v>
      </c>
      <c r="E11" s="102">
        <v>5</v>
      </c>
      <c r="F11" s="102">
        <v>1</v>
      </c>
      <c r="G11" s="98" t="s">
        <v>405</v>
      </c>
    </row>
    <row r="12" spans="1:7">
      <c r="A12" s="289">
        <v>4</v>
      </c>
      <c r="B12" s="292" t="s">
        <v>22</v>
      </c>
      <c r="C12" s="98" t="s">
        <v>406</v>
      </c>
      <c r="D12" s="102">
        <v>6</v>
      </c>
      <c r="E12" s="102">
        <v>5</v>
      </c>
      <c r="F12" s="102">
        <v>1</v>
      </c>
      <c r="G12" s="98" t="s">
        <v>407</v>
      </c>
    </row>
    <row r="13" spans="1:7">
      <c r="A13" s="290"/>
      <c r="B13" s="293"/>
      <c r="C13" s="98" t="s">
        <v>406</v>
      </c>
      <c r="D13" s="102">
        <v>5</v>
      </c>
      <c r="E13" s="102">
        <v>0</v>
      </c>
      <c r="F13" s="102">
        <v>5</v>
      </c>
      <c r="G13" s="98" t="s">
        <v>407</v>
      </c>
    </row>
    <row r="14" spans="1:7">
      <c r="A14" s="291"/>
      <c r="B14" s="294"/>
      <c r="C14" s="98" t="s">
        <v>408</v>
      </c>
      <c r="D14" s="102">
        <v>7</v>
      </c>
      <c r="E14" s="102">
        <v>0</v>
      </c>
      <c r="F14" s="102">
        <v>7</v>
      </c>
      <c r="G14" s="98" t="s">
        <v>463</v>
      </c>
    </row>
    <row r="15" spans="1:7">
      <c r="A15" s="289">
        <v>5</v>
      </c>
      <c r="B15" s="292" t="s">
        <v>26</v>
      </c>
      <c r="C15" s="98" t="s">
        <v>410</v>
      </c>
      <c r="D15" s="102">
        <v>5</v>
      </c>
      <c r="E15" s="102">
        <v>0</v>
      </c>
      <c r="F15" s="102">
        <v>5</v>
      </c>
      <c r="G15" s="98" t="s">
        <v>411</v>
      </c>
    </row>
    <row r="16" spans="1:7">
      <c r="A16" s="291"/>
      <c r="B16" s="294"/>
      <c r="C16" s="98" t="s">
        <v>412</v>
      </c>
      <c r="D16" s="102">
        <v>7</v>
      </c>
      <c r="E16" s="102">
        <v>2</v>
      </c>
      <c r="F16" s="102">
        <v>5</v>
      </c>
      <c r="G16" s="98" t="s">
        <v>413</v>
      </c>
    </row>
    <row r="17" spans="1:7">
      <c r="A17" s="289">
        <v>6</v>
      </c>
      <c r="B17" s="292" t="s">
        <v>18</v>
      </c>
      <c r="C17" s="98" t="s">
        <v>414</v>
      </c>
      <c r="D17" s="102">
        <v>6</v>
      </c>
      <c r="E17" s="102">
        <v>5</v>
      </c>
      <c r="F17" s="102">
        <v>1</v>
      </c>
      <c r="G17" s="98" t="s">
        <v>415</v>
      </c>
    </row>
    <row r="18" spans="1:7">
      <c r="A18" s="290"/>
      <c r="B18" s="293"/>
      <c r="C18" s="98" t="s">
        <v>416</v>
      </c>
      <c r="D18" s="102">
        <v>18</v>
      </c>
      <c r="E18" s="102">
        <v>8</v>
      </c>
      <c r="F18" s="102">
        <v>10</v>
      </c>
      <c r="G18" s="98" t="s">
        <v>417</v>
      </c>
    </row>
    <row r="19" spans="1:7">
      <c r="A19" s="291"/>
      <c r="B19" s="294"/>
      <c r="C19" s="98" t="s">
        <v>418</v>
      </c>
      <c r="D19" s="102">
        <v>5</v>
      </c>
      <c r="E19" s="102">
        <v>0</v>
      </c>
      <c r="F19" s="102">
        <v>5</v>
      </c>
      <c r="G19" s="98" t="s">
        <v>419</v>
      </c>
    </row>
    <row r="20" spans="1:7">
      <c r="A20" s="289">
        <v>7</v>
      </c>
      <c r="B20" s="292" t="s">
        <v>44</v>
      </c>
      <c r="C20" s="98" t="s">
        <v>420</v>
      </c>
      <c r="D20" s="102">
        <v>5</v>
      </c>
      <c r="E20" s="102">
        <v>0</v>
      </c>
      <c r="F20" s="102">
        <v>5</v>
      </c>
      <c r="G20" s="98" t="s">
        <v>421</v>
      </c>
    </row>
    <row r="21" spans="1:7">
      <c r="A21" s="290"/>
      <c r="B21" s="293"/>
      <c r="C21" s="98" t="s">
        <v>422</v>
      </c>
      <c r="D21" s="102">
        <v>12</v>
      </c>
      <c r="E21" s="102">
        <v>12</v>
      </c>
      <c r="F21" s="102">
        <v>0</v>
      </c>
      <c r="G21" s="98" t="s">
        <v>423</v>
      </c>
    </row>
    <row r="22" spans="1:7">
      <c r="A22" s="290"/>
      <c r="B22" s="293"/>
      <c r="C22" s="98" t="s">
        <v>424</v>
      </c>
      <c r="D22" s="196">
        <v>3</v>
      </c>
      <c r="E22" s="196">
        <v>2</v>
      </c>
      <c r="F22" s="196">
        <v>1</v>
      </c>
      <c r="G22" s="246" t="s">
        <v>424</v>
      </c>
    </row>
    <row r="23" spans="1:7">
      <c r="A23" s="290"/>
      <c r="B23" s="293"/>
      <c r="C23" s="98" t="s">
        <v>422</v>
      </c>
      <c r="D23" s="196">
        <v>5</v>
      </c>
      <c r="E23" s="196">
        <v>0</v>
      </c>
      <c r="F23" s="196">
        <v>5</v>
      </c>
      <c r="G23" s="246" t="s">
        <v>433</v>
      </c>
    </row>
    <row r="24" spans="1:7">
      <c r="A24" s="291"/>
      <c r="B24" s="294"/>
      <c r="C24" s="98" t="s">
        <v>424</v>
      </c>
      <c r="D24" s="196">
        <v>25</v>
      </c>
      <c r="E24" s="196">
        <v>25</v>
      </c>
      <c r="F24" s="196">
        <v>0</v>
      </c>
      <c r="G24" s="246" t="s">
        <v>425</v>
      </c>
    </row>
    <row r="25" spans="1:7">
      <c r="A25" s="289">
        <v>8</v>
      </c>
      <c r="B25" s="292" t="s">
        <v>34</v>
      </c>
      <c r="C25" s="98" t="s">
        <v>426</v>
      </c>
      <c r="D25" s="196">
        <v>6</v>
      </c>
      <c r="E25" s="196">
        <v>0</v>
      </c>
      <c r="F25" s="196">
        <v>6</v>
      </c>
      <c r="G25" s="246" t="s">
        <v>427</v>
      </c>
    </row>
    <row r="26" spans="1:7">
      <c r="A26" s="290"/>
      <c r="B26" s="293"/>
      <c r="C26" s="98" t="s">
        <v>446</v>
      </c>
      <c r="D26" s="196">
        <v>4</v>
      </c>
      <c r="E26" s="196">
        <v>0</v>
      </c>
      <c r="F26" s="196">
        <v>4</v>
      </c>
      <c r="G26" s="246" t="s">
        <v>447</v>
      </c>
    </row>
    <row r="27" spans="1:7">
      <c r="A27" s="291"/>
      <c r="B27" s="294"/>
      <c r="C27" s="98" t="s">
        <v>34</v>
      </c>
      <c r="D27" s="196">
        <v>7</v>
      </c>
      <c r="E27" s="196">
        <v>5</v>
      </c>
      <c r="F27" s="196">
        <v>2</v>
      </c>
      <c r="G27" s="246" t="s">
        <v>449</v>
      </c>
    </row>
    <row r="28" spans="1:7">
      <c r="A28" s="289">
        <v>9</v>
      </c>
      <c r="B28" s="292" t="s">
        <v>9</v>
      </c>
      <c r="C28" s="98" t="s">
        <v>9</v>
      </c>
      <c r="D28" s="196">
        <v>5</v>
      </c>
      <c r="E28" s="196">
        <v>5</v>
      </c>
      <c r="F28" s="196">
        <v>0</v>
      </c>
      <c r="G28" s="246" t="s">
        <v>428</v>
      </c>
    </row>
    <row r="29" spans="1:7" ht="17.25" customHeight="1">
      <c r="A29" s="291"/>
      <c r="B29" s="294"/>
      <c r="C29" s="98" t="s">
        <v>429</v>
      </c>
      <c r="D29" s="196">
        <v>18</v>
      </c>
      <c r="E29" s="196">
        <v>16</v>
      </c>
      <c r="F29" s="196">
        <v>2</v>
      </c>
      <c r="G29" s="247" t="s">
        <v>430</v>
      </c>
    </row>
    <row r="30" spans="1:7" ht="17.25" customHeight="1">
      <c r="A30" s="216"/>
      <c r="B30" s="289" t="s">
        <v>48</v>
      </c>
      <c r="C30" s="98" t="s">
        <v>431</v>
      </c>
      <c r="D30" s="196">
        <v>4</v>
      </c>
      <c r="E30" s="196">
        <v>0</v>
      </c>
      <c r="F30" s="196">
        <v>4</v>
      </c>
      <c r="G30" s="246" t="s">
        <v>432</v>
      </c>
    </row>
    <row r="31" spans="1:7">
      <c r="A31" s="102">
        <v>10</v>
      </c>
      <c r="B31" s="291"/>
      <c r="C31" s="98" t="s">
        <v>431</v>
      </c>
      <c r="D31" s="102">
        <v>4</v>
      </c>
      <c r="E31" s="102">
        <v>0</v>
      </c>
      <c r="F31" s="102">
        <v>4</v>
      </c>
      <c r="G31" s="98" t="s">
        <v>432</v>
      </c>
    </row>
    <row r="32" spans="1:7">
      <c r="A32" s="295" t="s">
        <v>45</v>
      </c>
      <c r="B32" s="296"/>
      <c r="C32" s="297"/>
      <c r="D32" s="218">
        <f>SUM(D5:D31)</f>
        <v>231</v>
      </c>
      <c r="E32" s="218">
        <f t="shared" ref="E32:F32" si="0">SUM(E5:E31)</f>
        <v>138</v>
      </c>
      <c r="F32" s="218">
        <f t="shared" si="0"/>
        <v>93</v>
      </c>
      <c r="G32" s="220"/>
    </row>
  </sheetData>
  <mergeCells count="26">
    <mergeCell ref="A2:A4"/>
    <mergeCell ref="B2:B4"/>
    <mergeCell ref="A1:G1"/>
    <mergeCell ref="C2:C4"/>
    <mergeCell ref="D3:D4"/>
    <mergeCell ref="D2:F2"/>
    <mergeCell ref="G2:G4"/>
    <mergeCell ref="E3:F3"/>
    <mergeCell ref="B5:B7"/>
    <mergeCell ref="B8:B10"/>
    <mergeCell ref="B12:B14"/>
    <mergeCell ref="B15:B16"/>
    <mergeCell ref="B17:B19"/>
    <mergeCell ref="B20:B24"/>
    <mergeCell ref="B25:B27"/>
    <mergeCell ref="B28:B29"/>
    <mergeCell ref="A32:C32"/>
    <mergeCell ref="A28:A29"/>
    <mergeCell ref="A25:A27"/>
    <mergeCell ref="A20:A24"/>
    <mergeCell ref="B30:B31"/>
    <mergeCell ref="A17:A19"/>
    <mergeCell ref="A15:A16"/>
    <mergeCell ref="A12:A14"/>
    <mergeCell ref="A8:A10"/>
    <mergeCell ref="A5:A7"/>
  </mergeCells>
  <pageMargins left="0.65" right="0.34" top="0.56000000000000005" bottom="0.56000000000000005" header="0.3" footer="0.3"/>
  <pageSetup paperSize="9" scale="8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G7" sqref="G7"/>
    </sheetView>
  </sheetViews>
  <sheetFormatPr defaultRowHeight="15"/>
  <cols>
    <col min="1" max="1" width="6.28515625" customWidth="1"/>
    <col min="2" max="2" width="14.85546875" bestFit="1" customWidth="1"/>
  </cols>
  <sheetData>
    <row r="1" spans="1:4" ht="16.5" thickBot="1">
      <c r="A1" s="305" t="s">
        <v>188</v>
      </c>
      <c r="B1" s="305"/>
      <c r="C1" s="305"/>
      <c r="D1" s="305"/>
    </row>
    <row r="2" spans="1:4" ht="16.5" thickBot="1">
      <c r="A2" s="11" t="s">
        <v>46</v>
      </c>
      <c r="B2" s="12" t="s">
        <v>47</v>
      </c>
      <c r="C2" s="13" t="s">
        <v>186</v>
      </c>
      <c r="D2" s="13" t="s">
        <v>187</v>
      </c>
    </row>
    <row r="3" spans="1:4" ht="16.5" thickBot="1">
      <c r="A3" s="14">
        <v>1</v>
      </c>
      <c r="B3" s="4" t="s">
        <v>29</v>
      </c>
      <c r="C3" s="15">
        <v>40</v>
      </c>
      <c r="D3" s="15">
        <v>37</v>
      </c>
    </row>
    <row r="4" spans="1:4" ht="16.5" thickBot="1">
      <c r="A4" s="14">
        <v>2</v>
      </c>
      <c r="B4" s="4" t="s">
        <v>34</v>
      </c>
      <c r="C4" s="15">
        <v>27</v>
      </c>
      <c r="D4" s="15">
        <v>22</v>
      </c>
    </row>
    <row r="5" spans="1:4" ht="16.5" thickBot="1">
      <c r="A5" s="14">
        <v>3</v>
      </c>
      <c r="B5" s="4" t="s">
        <v>38</v>
      </c>
      <c r="C5" s="15">
        <v>35</v>
      </c>
      <c r="D5" s="15">
        <v>80</v>
      </c>
    </row>
    <row r="6" spans="1:4" ht="16.5" thickBot="1">
      <c r="A6" s="14">
        <v>4</v>
      </c>
      <c r="B6" s="4" t="s">
        <v>44</v>
      </c>
      <c r="C6" s="15">
        <v>95</v>
      </c>
      <c r="D6" s="15">
        <v>87</v>
      </c>
    </row>
    <row r="7" spans="1:4" ht="16.5" thickBot="1">
      <c r="A7" s="14">
        <v>5</v>
      </c>
      <c r="B7" s="4" t="s">
        <v>18</v>
      </c>
      <c r="C7" s="15">
        <v>56</v>
      </c>
      <c r="D7" s="15">
        <v>52</v>
      </c>
    </row>
    <row r="8" spans="1:4" ht="16.5" thickBot="1">
      <c r="A8" s="14">
        <v>6</v>
      </c>
      <c r="B8" s="4" t="s">
        <v>22</v>
      </c>
      <c r="C8" s="15">
        <v>29</v>
      </c>
      <c r="D8" s="15">
        <v>25</v>
      </c>
    </row>
    <row r="9" spans="1:4" ht="16.5" thickBot="1">
      <c r="A9" s="14">
        <v>7</v>
      </c>
      <c r="B9" s="4" t="s">
        <v>26</v>
      </c>
      <c r="C9" s="15">
        <v>14</v>
      </c>
      <c r="D9" s="15">
        <v>13</v>
      </c>
    </row>
    <row r="10" spans="1:4" ht="16.5" thickBot="1">
      <c r="A10" s="14">
        <v>8</v>
      </c>
      <c r="B10" s="4" t="s">
        <v>13</v>
      </c>
      <c r="C10" s="15">
        <v>64</v>
      </c>
      <c r="D10" s="15">
        <v>20</v>
      </c>
    </row>
    <row r="11" spans="1:4" ht="16.5" thickBot="1">
      <c r="A11" s="14">
        <v>9</v>
      </c>
      <c r="B11" s="4" t="s">
        <v>9</v>
      </c>
      <c r="C11" s="15">
        <v>19</v>
      </c>
      <c r="D11" s="15">
        <v>20</v>
      </c>
    </row>
    <row r="12" spans="1:4" ht="16.5" thickBot="1">
      <c r="A12" s="14">
        <v>10</v>
      </c>
      <c r="B12" s="4" t="s">
        <v>4</v>
      </c>
      <c r="C12" s="15">
        <v>5</v>
      </c>
      <c r="D12" s="15">
        <v>5</v>
      </c>
    </row>
    <row r="13" spans="1:4" ht="16.5" thickBot="1">
      <c r="A13" s="16"/>
      <c r="B13" s="17" t="s">
        <v>0</v>
      </c>
      <c r="C13" s="18">
        <v>384</v>
      </c>
      <c r="D13" s="18">
        <v>361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4"/>
  <sheetViews>
    <sheetView workbookViewId="0">
      <selection activeCell="Q47" sqref="Q47"/>
    </sheetView>
  </sheetViews>
  <sheetFormatPr defaultRowHeight="15"/>
  <cols>
    <col min="1" max="1" width="5.5703125" customWidth="1"/>
    <col min="2" max="2" width="27.85546875" bestFit="1" customWidth="1"/>
    <col min="7" max="7" width="9.7109375" customWidth="1"/>
    <col min="14" max="14" width="12.5703125" customWidth="1"/>
    <col min="17" max="17" width="11.5703125" bestFit="1" customWidth="1"/>
  </cols>
  <sheetData>
    <row r="1" spans="1:14" ht="15.75" thickBot="1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 ht="16.5" thickBot="1">
      <c r="A2" s="308" t="s">
        <v>46</v>
      </c>
      <c r="B2" s="308" t="s">
        <v>189</v>
      </c>
      <c r="C2" s="310" t="s">
        <v>190</v>
      </c>
      <c r="D2" s="311"/>
      <c r="E2" s="311"/>
      <c r="F2" s="311"/>
      <c r="G2" s="311"/>
      <c r="H2" s="311"/>
      <c r="I2" s="311"/>
      <c r="J2" s="311"/>
      <c r="K2" s="311"/>
      <c r="L2" s="312"/>
      <c r="M2" s="19" t="s">
        <v>191</v>
      </c>
      <c r="N2" s="19" t="s">
        <v>193</v>
      </c>
    </row>
    <row r="3" spans="1:14" ht="16.5" thickBot="1">
      <c r="A3" s="309"/>
      <c r="B3" s="309"/>
      <c r="C3" s="20" t="s">
        <v>195</v>
      </c>
      <c r="D3" s="20" t="s">
        <v>196</v>
      </c>
      <c r="E3" s="20" t="s">
        <v>197</v>
      </c>
      <c r="F3" s="20" t="s">
        <v>198</v>
      </c>
      <c r="G3" s="20" t="s">
        <v>199</v>
      </c>
      <c r="H3" s="20" t="s">
        <v>200</v>
      </c>
      <c r="I3" s="20" t="s">
        <v>201</v>
      </c>
      <c r="J3" s="20" t="s">
        <v>202</v>
      </c>
      <c r="K3" s="20" t="s">
        <v>203</v>
      </c>
      <c r="L3" s="20" t="s">
        <v>204</v>
      </c>
      <c r="M3" s="20" t="s">
        <v>192</v>
      </c>
      <c r="N3" s="20" t="s">
        <v>194</v>
      </c>
    </row>
    <row r="4" spans="1:14" ht="16.5" thickBot="1">
      <c r="A4" s="3">
        <v>1</v>
      </c>
      <c r="B4" s="4" t="s">
        <v>205</v>
      </c>
      <c r="C4" s="21">
        <v>60</v>
      </c>
      <c r="D4" s="21">
        <v>1</v>
      </c>
      <c r="E4" s="21">
        <v>1</v>
      </c>
      <c r="F4" s="21" t="s">
        <v>93</v>
      </c>
      <c r="G4" s="21" t="s">
        <v>93</v>
      </c>
      <c r="H4" s="21" t="s">
        <v>93</v>
      </c>
      <c r="I4" s="21" t="s">
        <v>93</v>
      </c>
      <c r="J4" s="21" t="s">
        <v>93</v>
      </c>
      <c r="K4" s="21">
        <v>305</v>
      </c>
      <c r="L4" s="21" t="s">
        <v>93</v>
      </c>
      <c r="M4" s="21">
        <v>367</v>
      </c>
      <c r="N4" s="21">
        <v>59</v>
      </c>
    </row>
    <row r="5" spans="1:14" ht="16.5" thickBot="1">
      <c r="A5" s="3">
        <v>2</v>
      </c>
      <c r="B5" s="4" t="s">
        <v>206</v>
      </c>
      <c r="C5" s="21">
        <v>55</v>
      </c>
      <c r="D5" s="21" t="s">
        <v>93</v>
      </c>
      <c r="E5" s="21">
        <v>1</v>
      </c>
      <c r="F5" s="21" t="s">
        <v>93</v>
      </c>
      <c r="G5" s="21">
        <v>3</v>
      </c>
      <c r="H5" s="21" t="s">
        <v>93</v>
      </c>
      <c r="I5" s="21" t="s">
        <v>93</v>
      </c>
      <c r="J5" s="21" t="s">
        <v>93</v>
      </c>
      <c r="K5" s="21">
        <v>275</v>
      </c>
      <c r="L5" s="21" t="s">
        <v>93</v>
      </c>
      <c r="M5" s="21">
        <v>334</v>
      </c>
      <c r="N5" s="21">
        <v>54</v>
      </c>
    </row>
    <row r="6" spans="1:14" ht="16.5" thickBot="1">
      <c r="A6" s="3">
        <v>3</v>
      </c>
      <c r="B6" s="4" t="s">
        <v>6</v>
      </c>
      <c r="C6" s="21">
        <v>17</v>
      </c>
      <c r="D6" s="21" t="s">
        <v>93</v>
      </c>
      <c r="E6" s="21" t="s">
        <v>93</v>
      </c>
      <c r="F6" s="21" t="s">
        <v>93</v>
      </c>
      <c r="G6" s="21" t="s">
        <v>93</v>
      </c>
      <c r="H6" s="21" t="s">
        <v>93</v>
      </c>
      <c r="I6" s="21" t="s">
        <v>93</v>
      </c>
      <c r="J6" s="21" t="s">
        <v>93</v>
      </c>
      <c r="K6" s="21">
        <v>85</v>
      </c>
      <c r="L6" s="21" t="s">
        <v>93</v>
      </c>
      <c r="M6" s="21">
        <v>102</v>
      </c>
      <c r="N6" s="21">
        <v>17</v>
      </c>
    </row>
    <row r="7" spans="1:14" ht="16.5" thickBot="1">
      <c r="A7" s="3">
        <v>4</v>
      </c>
      <c r="B7" s="4" t="s">
        <v>207</v>
      </c>
      <c r="C7" s="21">
        <v>65</v>
      </c>
      <c r="D7" s="21" t="s">
        <v>93</v>
      </c>
      <c r="E7" s="21" t="s">
        <v>93</v>
      </c>
      <c r="F7" s="21" t="s">
        <v>93</v>
      </c>
      <c r="G7" s="21">
        <v>1</v>
      </c>
      <c r="H7" s="21" t="s">
        <v>93</v>
      </c>
      <c r="I7" s="21" t="s">
        <v>93</v>
      </c>
      <c r="J7" s="21" t="s">
        <v>93</v>
      </c>
      <c r="K7" s="21">
        <v>325</v>
      </c>
      <c r="L7" s="21" t="s">
        <v>93</v>
      </c>
      <c r="M7" s="21">
        <v>391</v>
      </c>
      <c r="N7" s="21">
        <v>66</v>
      </c>
    </row>
    <row r="8" spans="1:14" ht="16.5" thickBot="1">
      <c r="A8" s="3">
        <v>5</v>
      </c>
      <c r="B8" s="4" t="s">
        <v>208</v>
      </c>
      <c r="C8" s="21">
        <v>25</v>
      </c>
      <c r="D8" s="21" t="s">
        <v>93</v>
      </c>
      <c r="E8" s="21" t="s">
        <v>93</v>
      </c>
      <c r="F8" s="21" t="s">
        <v>93</v>
      </c>
      <c r="G8" s="21" t="s">
        <v>93</v>
      </c>
      <c r="H8" s="21" t="s">
        <v>93</v>
      </c>
      <c r="I8" s="21" t="s">
        <v>93</v>
      </c>
      <c r="J8" s="21" t="s">
        <v>93</v>
      </c>
      <c r="K8" s="21">
        <v>125</v>
      </c>
      <c r="L8" s="21" t="s">
        <v>93</v>
      </c>
      <c r="M8" s="21">
        <v>150</v>
      </c>
      <c r="N8" s="21">
        <v>25</v>
      </c>
    </row>
    <row r="9" spans="1:14" ht="16.5" thickBot="1">
      <c r="A9" s="3">
        <v>6</v>
      </c>
      <c r="B9" s="4" t="s">
        <v>209</v>
      </c>
      <c r="C9" s="21">
        <v>8</v>
      </c>
      <c r="D9" s="21" t="s">
        <v>93</v>
      </c>
      <c r="E9" s="21" t="s">
        <v>93</v>
      </c>
      <c r="F9" s="21" t="s">
        <v>93</v>
      </c>
      <c r="G9" s="21" t="s">
        <v>93</v>
      </c>
      <c r="H9" s="21">
        <v>1</v>
      </c>
      <c r="I9" s="21" t="s">
        <v>93</v>
      </c>
      <c r="J9" s="21" t="s">
        <v>93</v>
      </c>
      <c r="K9" s="21">
        <v>40</v>
      </c>
      <c r="L9" s="21" t="s">
        <v>93</v>
      </c>
      <c r="M9" s="21">
        <v>49</v>
      </c>
      <c r="N9" s="21">
        <v>9</v>
      </c>
    </row>
    <row r="10" spans="1:14" ht="16.5" thickBot="1">
      <c r="A10" s="3">
        <v>7</v>
      </c>
      <c r="B10" s="4" t="s">
        <v>210</v>
      </c>
      <c r="C10" s="21">
        <v>30</v>
      </c>
      <c r="D10" s="21" t="s">
        <v>93</v>
      </c>
      <c r="E10" s="21" t="s">
        <v>93</v>
      </c>
      <c r="F10" s="21" t="s">
        <v>93</v>
      </c>
      <c r="G10" s="21" t="s">
        <v>93</v>
      </c>
      <c r="H10" s="21" t="s">
        <v>93</v>
      </c>
      <c r="I10" s="21" t="s">
        <v>93</v>
      </c>
      <c r="J10" s="21" t="s">
        <v>93</v>
      </c>
      <c r="K10" s="21">
        <v>150</v>
      </c>
      <c r="L10" s="21" t="s">
        <v>93</v>
      </c>
      <c r="M10" s="21">
        <v>180</v>
      </c>
      <c r="N10" s="21">
        <v>30</v>
      </c>
    </row>
    <row r="11" spans="1:14" ht="16.5" thickBot="1">
      <c r="A11" s="3">
        <v>8</v>
      </c>
      <c r="B11" s="4" t="s">
        <v>21</v>
      </c>
      <c r="C11" s="21">
        <v>16</v>
      </c>
      <c r="D11" s="21">
        <v>6</v>
      </c>
      <c r="E11" s="21" t="s">
        <v>93</v>
      </c>
      <c r="F11" s="21" t="s">
        <v>93</v>
      </c>
      <c r="G11" s="21">
        <v>1</v>
      </c>
      <c r="H11" s="21">
        <v>1</v>
      </c>
      <c r="I11" s="21" t="s">
        <v>93</v>
      </c>
      <c r="J11" s="21" t="s">
        <v>93</v>
      </c>
      <c r="K11" s="21">
        <v>110</v>
      </c>
      <c r="L11" s="21" t="s">
        <v>93</v>
      </c>
      <c r="M11" s="21">
        <v>134</v>
      </c>
      <c r="N11" s="21">
        <v>18</v>
      </c>
    </row>
    <row r="12" spans="1:14" ht="16.5" thickBot="1">
      <c r="A12" s="3">
        <v>9</v>
      </c>
      <c r="B12" s="4" t="s">
        <v>211</v>
      </c>
      <c r="C12" s="21">
        <v>29</v>
      </c>
      <c r="D12" s="21" t="s">
        <v>93</v>
      </c>
      <c r="E12" s="21" t="s">
        <v>93</v>
      </c>
      <c r="F12" s="21" t="s">
        <v>93</v>
      </c>
      <c r="G12" s="21" t="s">
        <v>93</v>
      </c>
      <c r="H12" s="21" t="s">
        <v>93</v>
      </c>
      <c r="I12" s="21" t="s">
        <v>93</v>
      </c>
      <c r="J12" s="21" t="s">
        <v>93</v>
      </c>
      <c r="K12" s="21">
        <v>145</v>
      </c>
      <c r="L12" s="21" t="s">
        <v>93</v>
      </c>
      <c r="M12" s="21">
        <v>174</v>
      </c>
      <c r="N12" s="21">
        <v>28</v>
      </c>
    </row>
    <row r="13" spans="1:14" ht="16.5" thickBot="1">
      <c r="A13" s="3">
        <v>10</v>
      </c>
      <c r="B13" s="4" t="s">
        <v>14</v>
      </c>
      <c r="C13" s="21">
        <v>60</v>
      </c>
      <c r="D13" s="21" t="s">
        <v>93</v>
      </c>
      <c r="E13" s="21">
        <v>3</v>
      </c>
      <c r="F13" s="21" t="s">
        <v>93</v>
      </c>
      <c r="G13" s="21" t="s">
        <v>93</v>
      </c>
      <c r="H13" s="21" t="s">
        <v>93</v>
      </c>
      <c r="I13" s="21" t="s">
        <v>93</v>
      </c>
      <c r="J13" s="21" t="s">
        <v>93</v>
      </c>
      <c r="K13" s="21">
        <v>300</v>
      </c>
      <c r="L13" s="21" t="s">
        <v>93</v>
      </c>
      <c r="M13" s="21">
        <v>363</v>
      </c>
      <c r="N13" s="21">
        <v>59</v>
      </c>
    </row>
    <row r="14" spans="1:14" ht="16.5" thickBot="1">
      <c r="A14" s="3">
        <v>11</v>
      </c>
      <c r="B14" s="4" t="s">
        <v>212</v>
      </c>
      <c r="C14" s="21">
        <v>10</v>
      </c>
      <c r="D14" s="21" t="s">
        <v>93</v>
      </c>
      <c r="E14" s="21" t="s">
        <v>93</v>
      </c>
      <c r="F14" s="21" t="s">
        <v>93</v>
      </c>
      <c r="G14" s="21" t="s">
        <v>93</v>
      </c>
      <c r="H14" s="21" t="s">
        <v>93</v>
      </c>
      <c r="I14" s="21" t="s">
        <v>93</v>
      </c>
      <c r="J14" s="21" t="s">
        <v>93</v>
      </c>
      <c r="K14" s="21">
        <v>50</v>
      </c>
      <c r="L14" s="21" t="s">
        <v>93</v>
      </c>
      <c r="M14" s="21">
        <v>60</v>
      </c>
      <c r="N14" s="21">
        <v>10</v>
      </c>
    </row>
    <row r="15" spans="1:14" ht="16.5" thickBot="1">
      <c r="A15" s="3">
        <v>12</v>
      </c>
      <c r="B15" s="4" t="s">
        <v>213</v>
      </c>
      <c r="C15" s="21">
        <v>30</v>
      </c>
      <c r="D15" s="21">
        <v>2</v>
      </c>
      <c r="E15" s="21">
        <v>1</v>
      </c>
      <c r="F15" s="21" t="s">
        <v>93</v>
      </c>
      <c r="G15" s="21" t="s">
        <v>93</v>
      </c>
      <c r="H15" s="21" t="s">
        <v>93</v>
      </c>
      <c r="I15" s="21" t="s">
        <v>93</v>
      </c>
      <c r="J15" s="21" t="s">
        <v>93</v>
      </c>
      <c r="K15" s="21">
        <v>155</v>
      </c>
      <c r="L15" s="21" t="s">
        <v>93</v>
      </c>
      <c r="M15" s="21">
        <v>188</v>
      </c>
      <c r="N15" s="21">
        <v>30</v>
      </c>
    </row>
    <row r="16" spans="1:14" ht="16.5" thickBot="1">
      <c r="A16" s="3">
        <v>13</v>
      </c>
      <c r="B16" s="4" t="s">
        <v>214</v>
      </c>
      <c r="C16" s="21">
        <v>27</v>
      </c>
      <c r="D16" s="21" t="s">
        <v>93</v>
      </c>
      <c r="E16" s="21" t="s">
        <v>93</v>
      </c>
      <c r="F16" s="21" t="s">
        <v>93</v>
      </c>
      <c r="G16" s="21" t="s">
        <v>93</v>
      </c>
      <c r="H16" s="21" t="s">
        <v>93</v>
      </c>
      <c r="I16" s="21" t="s">
        <v>93</v>
      </c>
      <c r="J16" s="21" t="s">
        <v>93</v>
      </c>
      <c r="K16" s="21">
        <v>135</v>
      </c>
      <c r="L16" s="21" t="s">
        <v>93</v>
      </c>
      <c r="M16" s="21">
        <v>162</v>
      </c>
      <c r="N16" s="21">
        <v>27</v>
      </c>
    </row>
    <row r="17" spans="1:14" ht="16.5" thickBot="1">
      <c r="A17" s="3">
        <v>14</v>
      </c>
      <c r="B17" s="4" t="s">
        <v>10</v>
      </c>
      <c r="C17" s="21">
        <v>112</v>
      </c>
      <c r="D17" s="21">
        <v>1</v>
      </c>
      <c r="E17" s="21" t="s">
        <v>93</v>
      </c>
      <c r="F17" s="21" t="s">
        <v>93</v>
      </c>
      <c r="G17" s="21">
        <v>2</v>
      </c>
      <c r="H17" s="21" t="s">
        <v>93</v>
      </c>
      <c r="I17" s="21" t="s">
        <v>93</v>
      </c>
      <c r="J17" s="21" t="s">
        <v>93</v>
      </c>
      <c r="K17" s="21">
        <v>565</v>
      </c>
      <c r="L17" s="21" t="s">
        <v>93</v>
      </c>
      <c r="M17" s="21">
        <v>680</v>
      </c>
      <c r="N17" s="21">
        <v>113</v>
      </c>
    </row>
    <row r="18" spans="1:14" ht="16.5" thickBot="1">
      <c r="A18" s="3">
        <v>15</v>
      </c>
      <c r="B18" s="4" t="s">
        <v>215</v>
      </c>
      <c r="C18" s="21">
        <v>8</v>
      </c>
      <c r="D18" s="21" t="s">
        <v>93</v>
      </c>
      <c r="E18" s="21" t="s">
        <v>93</v>
      </c>
      <c r="F18" s="21" t="s">
        <v>93</v>
      </c>
      <c r="G18" s="21" t="s">
        <v>93</v>
      </c>
      <c r="H18" s="21" t="s">
        <v>93</v>
      </c>
      <c r="I18" s="21" t="s">
        <v>93</v>
      </c>
      <c r="J18" s="21" t="s">
        <v>93</v>
      </c>
      <c r="K18" s="21">
        <v>40</v>
      </c>
      <c r="L18" s="21" t="s">
        <v>93</v>
      </c>
      <c r="M18" s="21">
        <v>48</v>
      </c>
      <c r="N18" s="21">
        <v>8</v>
      </c>
    </row>
    <row r="19" spans="1:14" ht="16.5" thickBot="1">
      <c r="A19" s="3">
        <v>16</v>
      </c>
      <c r="B19" s="4" t="s">
        <v>216</v>
      </c>
      <c r="C19" s="21">
        <v>22</v>
      </c>
      <c r="D19" s="21" t="s">
        <v>93</v>
      </c>
      <c r="E19" s="21" t="s">
        <v>93</v>
      </c>
      <c r="F19" s="21" t="s">
        <v>93</v>
      </c>
      <c r="G19" s="21" t="s">
        <v>93</v>
      </c>
      <c r="H19" s="21">
        <v>1</v>
      </c>
      <c r="I19" s="21" t="s">
        <v>93</v>
      </c>
      <c r="J19" s="21" t="s">
        <v>93</v>
      </c>
      <c r="K19" s="21">
        <v>110</v>
      </c>
      <c r="L19" s="21" t="s">
        <v>93</v>
      </c>
      <c r="M19" s="21">
        <v>133</v>
      </c>
      <c r="N19" s="21">
        <v>23</v>
      </c>
    </row>
    <row r="20" spans="1:14" ht="16.5" thickBot="1">
      <c r="A20" s="3">
        <v>17</v>
      </c>
      <c r="B20" s="4" t="s">
        <v>217</v>
      </c>
      <c r="C20" s="21">
        <v>30</v>
      </c>
      <c r="D20" s="21" t="s">
        <v>93</v>
      </c>
      <c r="E20" s="21" t="s">
        <v>93</v>
      </c>
      <c r="F20" s="21" t="s">
        <v>93</v>
      </c>
      <c r="G20" s="21" t="s">
        <v>93</v>
      </c>
      <c r="H20" s="21" t="s">
        <v>93</v>
      </c>
      <c r="I20" s="21" t="s">
        <v>93</v>
      </c>
      <c r="J20" s="21" t="s">
        <v>93</v>
      </c>
      <c r="K20" s="21">
        <v>150</v>
      </c>
      <c r="L20" s="21" t="s">
        <v>93</v>
      </c>
      <c r="M20" s="21">
        <v>180</v>
      </c>
      <c r="N20" s="21">
        <v>30</v>
      </c>
    </row>
    <row r="21" spans="1:14" ht="16.5" thickBot="1">
      <c r="A21" s="3">
        <v>18</v>
      </c>
      <c r="B21" s="22" t="s">
        <v>218</v>
      </c>
      <c r="C21" s="23">
        <v>3</v>
      </c>
      <c r="D21" s="23" t="s">
        <v>93</v>
      </c>
      <c r="E21" s="23" t="s">
        <v>93</v>
      </c>
      <c r="F21" s="23" t="s">
        <v>93</v>
      </c>
      <c r="G21" s="23" t="s">
        <v>93</v>
      </c>
      <c r="H21" s="23" t="s">
        <v>93</v>
      </c>
      <c r="I21" s="23" t="s">
        <v>93</v>
      </c>
      <c r="J21" s="23" t="s">
        <v>93</v>
      </c>
      <c r="K21" s="23">
        <v>15</v>
      </c>
      <c r="L21" s="24"/>
      <c r="M21" s="21">
        <v>18</v>
      </c>
      <c r="N21" s="23">
        <v>3</v>
      </c>
    </row>
    <row r="22" spans="1:14" ht="16.5" thickBot="1">
      <c r="A22" s="3">
        <v>19</v>
      </c>
      <c r="B22" s="25" t="s">
        <v>30</v>
      </c>
      <c r="C22" s="26">
        <v>43</v>
      </c>
      <c r="D22" s="26" t="s">
        <v>93</v>
      </c>
      <c r="E22" s="26" t="s">
        <v>93</v>
      </c>
      <c r="F22" s="26" t="s">
        <v>93</v>
      </c>
      <c r="G22" s="26" t="s">
        <v>93</v>
      </c>
      <c r="H22" s="26" t="s">
        <v>93</v>
      </c>
      <c r="I22" s="26" t="s">
        <v>93</v>
      </c>
      <c r="J22" s="26" t="s">
        <v>93</v>
      </c>
      <c r="K22" s="26">
        <v>215</v>
      </c>
      <c r="L22" s="26" t="s">
        <v>93</v>
      </c>
      <c r="M22" s="21">
        <v>258</v>
      </c>
      <c r="N22" s="26">
        <v>43</v>
      </c>
    </row>
    <row r="23" spans="1:14" ht="16.5" thickBot="1">
      <c r="A23" s="3">
        <v>20</v>
      </c>
      <c r="B23" s="4" t="s">
        <v>32</v>
      </c>
      <c r="C23" s="21">
        <v>34</v>
      </c>
      <c r="D23" s="21">
        <v>1</v>
      </c>
      <c r="E23" s="21" t="s">
        <v>93</v>
      </c>
      <c r="F23" s="21" t="s">
        <v>93</v>
      </c>
      <c r="G23" s="21">
        <v>7</v>
      </c>
      <c r="H23" s="21">
        <v>1</v>
      </c>
      <c r="I23" s="21" t="s">
        <v>93</v>
      </c>
      <c r="J23" s="21" t="s">
        <v>93</v>
      </c>
      <c r="K23" s="21">
        <v>175</v>
      </c>
      <c r="L23" s="21" t="s">
        <v>93</v>
      </c>
      <c r="M23" s="21">
        <v>218</v>
      </c>
      <c r="N23" s="21">
        <v>41</v>
      </c>
    </row>
    <row r="24" spans="1:14" ht="16.5" thickBot="1">
      <c r="A24" s="3">
        <v>21</v>
      </c>
      <c r="B24" s="4" t="s">
        <v>219</v>
      </c>
      <c r="C24" s="21">
        <v>52</v>
      </c>
      <c r="D24" s="21" t="s">
        <v>93</v>
      </c>
      <c r="E24" s="21" t="s">
        <v>93</v>
      </c>
      <c r="F24" s="21" t="s">
        <v>93</v>
      </c>
      <c r="G24" s="21" t="s">
        <v>93</v>
      </c>
      <c r="H24" s="21" t="s">
        <v>93</v>
      </c>
      <c r="I24" s="21" t="s">
        <v>93</v>
      </c>
      <c r="J24" s="21" t="s">
        <v>93</v>
      </c>
      <c r="K24" s="21">
        <v>260</v>
      </c>
      <c r="L24" s="21" t="s">
        <v>93</v>
      </c>
      <c r="M24" s="21">
        <v>312</v>
      </c>
      <c r="N24" s="21">
        <v>52</v>
      </c>
    </row>
    <row r="25" spans="1:14" ht="16.5" thickBot="1">
      <c r="A25" s="3">
        <v>22</v>
      </c>
      <c r="B25" s="4" t="s">
        <v>220</v>
      </c>
      <c r="C25" s="21">
        <v>13</v>
      </c>
      <c r="D25" s="21" t="s">
        <v>93</v>
      </c>
      <c r="E25" s="21" t="s">
        <v>93</v>
      </c>
      <c r="F25" s="21" t="s">
        <v>93</v>
      </c>
      <c r="G25" s="21" t="s">
        <v>93</v>
      </c>
      <c r="H25" s="21" t="s">
        <v>93</v>
      </c>
      <c r="I25" s="21" t="s">
        <v>93</v>
      </c>
      <c r="J25" s="21" t="s">
        <v>93</v>
      </c>
      <c r="K25" s="21">
        <v>65</v>
      </c>
      <c r="L25" s="21" t="s">
        <v>93</v>
      </c>
      <c r="M25" s="21">
        <v>78</v>
      </c>
      <c r="N25" s="21">
        <v>13</v>
      </c>
    </row>
    <row r="26" spans="1:14" ht="16.5" thickBot="1">
      <c r="A26" s="3">
        <v>23</v>
      </c>
      <c r="B26" s="4" t="s">
        <v>42</v>
      </c>
      <c r="C26" s="21" t="s">
        <v>93</v>
      </c>
      <c r="D26" s="21" t="s">
        <v>93</v>
      </c>
      <c r="E26" s="21" t="s">
        <v>93</v>
      </c>
      <c r="F26" s="21" t="s">
        <v>93</v>
      </c>
      <c r="G26" s="21" t="s">
        <v>93</v>
      </c>
      <c r="H26" s="21">
        <v>1</v>
      </c>
      <c r="I26" s="21" t="s">
        <v>93</v>
      </c>
      <c r="J26" s="21" t="s">
        <v>93</v>
      </c>
      <c r="K26" s="21" t="s">
        <v>93</v>
      </c>
      <c r="L26" s="21" t="s">
        <v>93</v>
      </c>
      <c r="M26" s="21">
        <v>1</v>
      </c>
      <c r="N26" s="21">
        <v>1</v>
      </c>
    </row>
    <row r="27" spans="1:14" ht="16.5" thickBot="1">
      <c r="A27" s="3">
        <v>24</v>
      </c>
      <c r="B27" s="4" t="s">
        <v>221</v>
      </c>
      <c r="C27" s="21">
        <v>5</v>
      </c>
      <c r="D27" s="21" t="s">
        <v>93</v>
      </c>
      <c r="E27" s="21" t="s">
        <v>93</v>
      </c>
      <c r="F27" s="21" t="s">
        <v>93</v>
      </c>
      <c r="G27" s="21" t="s">
        <v>93</v>
      </c>
      <c r="H27" s="21" t="s">
        <v>93</v>
      </c>
      <c r="I27" s="21" t="s">
        <v>93</v>
      </c>
      <c r="J27" s="21" t="s">
        <v>93</v>
      </c>
      <c r="K27" s="21">
        <v>25</v>
      </c>
      <c r="L27" s="21" t="s">
        <v>93</v>
      </c>
      <c r="M27" s="21">
        <v>30</v>
      </c>
      <c r="N27" s="21">
        <v>5</v>
      </c>
    </row>
    <row r="28" spans="1:14" ht="16.5" thickBot="1">
      <c r="A28" s="3">
        <v>25</v>
      </c>
      <c r="B28" s="4" t="s">
        <v>222</v>
      </c>
      <c r="C28" s="21">
        <v>11</v>
      </c>
      <c r="D28" s="21" t="s">
        <v>93</v>
      </c>
      <c r="E28" s="21" t="s">
        <v>93</v>
      </c>
      <c r="F28" s="21" t="s">
        <v>93</v>
      </c>
      <c r="G28" s="21" t="s">
        <v>93</v>
      </c>
      <c r="H28" s="21" t="s">
        <v>93</v>
      </c>
      <c r="I28" s="21" t="s">
        <v>93</v>
      </c>
      <c r="J28" s="21" t="s">
        <v>93</v>
      </c>
      <c r="K28" s="21">
        <v>55</v>
      </c>
      <c r="L28" s="21" t="s">
        <v>93</v>
      </c>
      <c r="M28" s="21">
        <v>66</v>
      </c>
      <c r="N28" s="21">
        <v>11</v>
      </c>
    </row>
    <row r="29" spans="1:14" ht="16.5" thickBot="1">
      <c r="A29" s="3">
        <v>26</v>
      </c>
      <c r="B29" s="4" t="s">
        <v>223</v>
      </c>
      <c r="C29" s="21">
        <v>48</v>
      </c>
      <c r="D29" s="21" t="s">
        <v>93</v>
      </c>
      <c r="E29" s="21" t="s">
        <v>93</v>
      </c>
      <c r="F29" s="21" t="s">
        <v>93</v>
      </c>
      <c r="G29" s="21">
        <v>1</v>
      </c>
      <c r="H29" s="21" t="s">
        <v>93</v>
      </c>
      <c r="I29" s="21" t="s">
        <v>93</v>
      </c>
      <c r="J29" s="21" t="s">
        <v>93</v>
      </c>
      <c r="K29" s="21">
        <v>240</v>
      </c>
      <c r="L29" s="21" t="s">
        <v>93</v>
      </c>
      <c r="M29" s="21">
        <v>289</v>
      </c>
      <c r="N29" s="21">
        <v>49</v>
      </c>
    </row>
    <row r="30" spans="1:14" ht="16.5" thickBot="1">
      <c r="A30" s="3">
        <v>27</v>
      </c>
      <c r="B30" s="4" t="s">
        <v>224</v>
      </c>
      <c r="C30" s="21">
        <v>23</v>
      </c>
      <c r="D30" s="21" t="s">
        <v>93</v>
      </c>
      <c r="E30" s="21" t="s">
        <v>93</v>
      </c>
      <c r="F30" s="21" t="s">
        <v>93</v>
      </c>
      <c r="G30" s="21">
        <v>1</v>
      </c>
      <c r="H30" s="21">
        <v>7</v>
      </c>
      <c r="I30" s="21" t="s">
        <v>93</v>
      </c>
      <c r="J30" s="21" t="s">
        <v>93</v>
      </c>
      <c r="K30" s="21">
        <v>115</v>
      </c>
      <c r="L30" s="21" t="s">
        <v>93</v>
      </c>
      <c r="M30" s="21">
        <v>146</v>
      </c>
      <c r="N30" s="21">
        <v>24</v>
      </c>
    </row>
    <row r="31" spans="1:14" ht="16.5" thickBot="1">
      <c r="A31" s="27"/>
      <c r="B31" s="20" t="s">
        <v>225</v>
      </c>
      <c r="C31" s="28">
        <v>836</v>
      </c>
      <c r="D31" s="28">
        <v>11</v>
      </c>
      <c r="E31" s="28">
        <v>6</v>
      </c>
      <c r="F31" s="28" t="s">
        <v>93</v>
      </c>
      <c r="G31" s="28">
        <v>16</v>
      </c>
      <c r="H31" s="28">
        <v>12</v>
      </c>
      <c r="I31" s="28" t="s">
        <v>93</v>
      </c>
      <c r="J31" s="28" t="s">
        <v>93</v>
      </c>
      <c r="K31" s="29">
        <v>4230</v>
      </c>
      <c r="L31" s="28" t="s">
        <v>93</v>
      </c>
      <c r="M31" s="29">
        <v>5111</v>
      </c>
      <c r="N31" s="28">
        <v>848</v>
      </c>
    </row>
    <row r="32" spans="1:14" ht="15.75">
      <c r="A32" s="313" t="s">
        <v>226</v>
      </c>
      <c r="B32" s="313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7" ht="15.75">
      <c r="A33" s="31" t="s">
        <v>195</v>
      </c>
      <c r="B33" s="31" t="s">
        <v>227</v>
      </c>
      <c r="C33" s="32" t="s">
        <v>228</v>
      </c>
      <c r="D33" s="306" t="s">
        <v>229</v>
      </c>
      <c r="E33" s="306"/>
      <c r="F33" s="306"/>
      <c r="G33" s="306"/>
      <c r="H33" s="306"/>
      <c r="I33" s="306"/>
      <c r="J33" s="30"/>
      <c r="K33" s="31" t="s">
        <v>230</v>
      </c>
      <c r="L33" s="306" t="s">
        <v>231</v>
      </c>
      <c r="M33" s="306"/>
      <c r="N33" s="306"/>
    </row>
    <row r="34" spans="1:17" ht="15.75">
      <c r="A34" s="31" t="s">
        <v>196</v>
      </c>
      <c r="B34" s="31" t="s">
        <v>232</v>
      </c>
      <c r="C34" s="32" t="s">
        <v>233</v>
      </c>
      <c r="D34" s="306" t="s">
        <v>234</v>
      </c>
      <c r="E34" s="306"/>
      <c r="F34" s="306"/>
      <c r="G34" s="306"/>
      <c r="H34" s="30"/>
      <c r="I34" s="30"/>
      <c r="J34" s="30"/>
      <c r="K34" s="31" t="s">
        <v>235</v>
      </c>
      <c r="L34" s="306" t="s">
        <v>236</v>
      </c>
      <c r="M34" s="306"/>
      <c r="N34" s="306"/>
    </row>
    <row r="35" spans="1:17" ht="15.75">
      <c r="A35" s="31" t="s">
        <v>197</v>
      </c>
      <c r="B35" s="31" t="s">
        <v>237</v>
      </c>
      <c r="C35" s="32" t="s">
        <v>238</v>
      </c>
      <c r="D35" s="306" t="s">
        <v>239</v>
      </c>
      <c r="E35" s="306"/>
      <c r="F35" s="306"/>
      <c r="G35" s="306"/>
      <c r="H35" s="306"/>
      <c r="I35" s="306"/>
      <c r="J35" s="30"/>
      <c r="K35" s="31" t="s">
        <v>240</v>
      </c>
      <c r="L35" s="306" t="s">
        <v>241</v>
      </c>
      <c r="M35" s="306"/>
      <c r="N35" s="306"/>
    </row>
    <row r="36" spans="1:17" ht="15.7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1" t="s">
        <v>242</v>
      </c>
      <c r="L36" s="306" t="s">
        <v>243</v>
      </c>
      <c r="M36" s="306"/>
      <c r="N36" s="306"/>
    </row>
    <row r="37" spans="1:17" ht="15.7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42" spans="1:17">
      <c r="Q42" s="146"/>
    </row>
    <row r="43" spans="1:17">
      <c r="G43" s="146"/>
    </row>
    <row r="44" spans="1:17">
      <c r="G44" s="193"/>
    </row>
  </sheetData>
  <mergeCells count="12">
    <mergeCell ref="D34:G34"/>
    <mergeCell ref="L34:N34"/>
    <mergeCell ref="D35:I35"/>
    <mergeCell ref="L35:N35"/>
    <mergeCell ref="L36:N36"/>
    <mergeCell ref="D33:I33"/>
    <mergeCell ref="L33:N33"/>
    <mergeCell ref="A1:N1"/>
    <mergeCell ref="A2:A3"/>
    <mergeCell ref="B2:B3"/>
    <mergeCell ref="C2:L2"/>
    <mergeCell ref="A32:B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workbookViewId="0">
      <selection activeCell="C23" sqref="C23"/>
    </sheetView>
  </sheetViews>
  <sheetFormatPr defaultRowHeight="15"/>
  <cols>
    <col min="2" max="2" width="27.7109375" bestFit="1" customWidth="1"/>
    <col min="3" max="3" width="18.140625" bestFit="1" customWidth="1"/>
    <col min="4" max="4" width="17.85546875" bestFit="1" customWidth="1"/>
  </cols>
  <sheetData>
    <row r="1" spans="1:4" ht="15.75" thickBot="1"/>
    <row r="2" spans="1:4" ht="16.5" thickBot="1">
      <c r="A2" s="33" t="s">
        <v>244</v>
      </c>
      <c r="B2" s="34" t="s">
        <v>245</v>
      </c>
      <c r="C2" s="35" t="s">
        <v>246</v>
      </c>
      <c r="D2" s="36" t="s">
        <v>247</v>
      </c>
    </row>
    <row r="3" spans="1:4" ht="16.5" thickBot="1">
      <c r="A3" s="3">
        <v>1</v>
      </c>
      <c r="B3" s="4" t="s">
        <v>248</v>
      </c>
      <c r="C3" s="37" t="s">
        <v>249</v>
      </c>
      <c r="D3" s="38" t="s">
        <v>250</v>
      </c>
    </row>
    <row r="4" spans="1:4" ht="16.5" thickBot="1">
      <c r="A4" s="3">
        <v>2</v>
      </c>
      <c r="B4" s="4" t="s">
        <v>251</v>
      </c>
      <c r="C4" s="37" t="s">
        <v>252</v>
      </c>
      <c r="D4" s="38" t="s">
        <v>253</v>
      </c>
    </row>
    <row r="5" spans="1:4" ht="16.5" thickBot="1">
      <c r="A5" s="3">
        <v>3</v>
      </c>
      <c r="B5" s="4" t="s">
        <v>254</v>
      </c>
      <c r="C5" s="37" t="s">
        <v>255</v>
      </c>
      <c r="D5" s="38" t="s">
        <v>256</v>
      </c>
    </row>
    <row r="6" spans="1:4" ht="16.5" thickBot="1">
      <c r="A6" s="3">
        <v>4</v>
      </c>
      <c r="B6" s="4" t="s">
        <v>257</v>
      </c>
      <c r="C6" s="37" t="s">
        <v>258</v>
      </c>
      <c r="D6" s="38" t="s">
        <v>259</v>
      </c>
    </row>
    <row r="7" spans="1:4" ht="16.5" thickBot="1">
      <c r="A7" s="3">
        <v>5</v>
      </c>
      <c r="B7" s="4" t="s">
        <v>260</v>
      </c>
      <c r="C7" s="37" t="s">
        <v>261</v>
      </c>
      <c r="D7" s="38" t="s">
        <v>256</v>
      </c>
    </row>
    <row r="8" spans="1:4" ht="16.5" thickBot="1">
      <c r="A8" s="3">
        <v>6</v>
      </c>
      <c r="B8" s="4" t="s">
        <v>262</v>
      </c>
      <c r="C8" s="37" t="s">
        <v>263</v>
      </c>
      <c r="D8" s="38" t="s">
        <v>264</v>
      </c>
    </row>
    <row r="9" spans="1:4" ht="16.5" thickBot="1">
      <c r="A9" s="3">
        <v>7</v>
      </c>
      <c r="B9" s="4" t="s">
        <v>265</v>
      </c>
      <c r="C9" s="37" t="s">
        <v>266</v>
      </c>
      <c r="D9" s="38" t="s">
        <v>267</v>
      </c>
    </row>
    <row r="10" spans="1:4" ht="16.5" thickBot="1">
      <c r="A10" s="3">
        <v>8</v>
      </c>
      <c r="B10" s="4" t="s">
        <v>268</v>
      </c>
      <c r="C10" s="37" t="s">
        <v>269</v>
      </c>
      <c r="D10" s="38" t="s">
        <v>270</v>
      </c>
    </row>
    <row r="11" spans="1:4" ht="16.5" thickBot="1">
      <c r="A11" s="39">
        <v>9</v>
      </c>
      <c r="B11" s="40" t="s">
        <v>271</v>
      </c>
      <c r="C11" s="37" t="s">
        <v>272</v>
      </c>
      <c r="D11" s="38" t="s">
        <v>273</v>
      </c>
    </row>
    <row r="12" spans="1:4" ht="16.5" thickBot="1">
      <c r="A12" s="41">
        <v>10</v>
      </c>
      <c r="B12" s="42" t="s">
        <v>274</v>
      </c>
      <c r="C12" s="37" t="s">
        <v>249</v>
      </c>
      <c r="D12" s="38" t="s">
        <v>275</v>
      </c>
    </row>
    <row r="13" spans="1:4" ht="16.5" thickBot="1">
      <c r="A13" s="43"/>
      <c r="B13" s="44"/>
      <c r="C13" s="45" t="s">
        <v>276</v>
      </c>
      <c r="D13" s="46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1"/>
  <sheetViews>
    <sheetView workbookViewId="0">
      <selection activeCell="I8" sqref="I8"/>
    </sheetView>
  </sheetViews>
  <sheetFormatPr defaultRowHeight="15"/>
  <cols>
    <col min="1" max="1" width="9.140625" style="51"/>
    <col min="2" max="2" width="18.5703125" bestFit="1" customWidth="1"/>
    <col min="3" max="3" width="14.140625" customWidth="1"/>
    <col min="4" max="4" width="43" customWidth="1"/>
    <col min="5" max="5" width="35.140625" bestFit="1" customWidth="1"/>
  </cols>
  <sheetData>
    <row r="1" spans="1:5" ht="15.75" thickBot="1">
      <c r="A1" s="51" t="s">
        <v>292</v>
      </c>
    </row>
    <row r="2" spans="1:5" ht="16.5" thickBot="1">
      <c r="A2" s="52" t="s">
        <v>244</v>
      </c>
      <c r="B2" s="48" t="s">
        <v>278</v>
      </c>
      <c r="C2" s="48" t="s">
        <v>279</v>
      </c>
      <c r="D2" s="35" t="s">
        <v>280</v>
      </c>
      <c r="E2" s="47" t="s">
        <v>281</v>
      </c>
    </row>
    <row r="3" spans="1:5" ht="16.5" thickBot="1">
      <c r="A3" s="314">
        <v>1</v>
      </c>
      <c r="B3" s="22" t="s">
        <v>22</v>
      </c>
      <c r="C3" s="4" t="s">
        <v>282</v>
      </c>
      <c r="D3" s="15">
        <v>-65</v>
      </c>
      <c r="E3" s="314" t="s">
        <v>283</v>
      </c>
    </row>
    <row r="4" spans="1:5" ht="16.5" thickBot="1">
      <c r="A4" s="315"/>
      <c r="B4" s="22" t="s">
        <v>266</v>
      </c>
      <c r="C4" s="4" t="s">
        <v>284</v>
      </c>
      <c r="D4" s="15">
        <v>-60</v>
      </c>
      <c r="E4" s="315"/>
    </row>
    <row r="5" spans="1:5" ht="16.5" thickBot="1">
      <c r="A5" s="315"/>
      <c r="B5" s="49"/>
      <c r="C5" s="4" t="s">
        <v>285</v>
      </c>
      <c r="D5" s="15">
        <v>-60</v>
      </c>
      <c r="E5" s="315"/>
    </row>
    <row r="6" spans="1:5" ht="16.5" thickBot="1">
      <c r="A6" s="316"/>
      <c r="B6" s="50"/>
      <c r="C6" s="4" t="s">
        <v>286</v>
      </c>
      <c r="D6" s="15">
        <v>-60</v>
      </c>
      <c r="E6" s="316"/>
    </row>
    <row r="7" spans="1:5" ht="16.5" thickBot="1">
      <c r="A7" s="317">
        <v>2</v>
      </c>
      <c r="B7" s="22" t="s">
        <v>287</v>
      </c>
      <c r="C7" s="4" t="s">
        <v>282</v>
      </c>
      <c r="D7" s="15">
        <v>-60</v>
      </c>
      <c r="E7" s="317" t="s">
        <v>283</v>
      </c>
    </row>
    <row r="8" spans="1:5" ht="16.5" thickBot="1">
      <c r="A8" s="315"/>
      <c r="B8" s="22" t="s">
        <v>13</v>
      </c>
      <c r="C8" s="4" t="s">
        <v>285</v>
      </c>
      <c r="D8" s="15">
        <v>-65</v>
      </c>
      <c r="E8" s="315"/>
    </row>
    <row r="9" spans="1:5" ht="16.5" thickBot="1">
      <c r="A9" s="316"/>
      <c r="B9" s="4" t="s">
        <v>249</v>
      </c>
      <c r="C9" s="4" t="s">
        <v>286</v>
      </c>
      <c r="D9" s="15">
        <v>-55</v>
      </c>
      <c r="E9" s="316"/>
    </row>
    <row r="10" spans="1:5" ht="16.5" thickBot="1">
      <c r="A10" s="317">
        <v>3</v>
      </c>
      <c r="B10" s="22" t="s">
        <v>13</v>
      </c>
      <c r="C10" s="4" t="s">
        <v>282</v>
      </c>
      <c r="D10" s="15">
        <v>-65</v>
      </c>
      <c r="E10" s="317" t="s">
        <v>283</v>
      </c>
    </row>
    <row r="11" spans="1:5" ht="16.5" thickBot="1">
      <c r="A11" s="315"/>
      <c r="B11" s="22" t="s">
        <v>272</v>
      </c>
      <c r="C11" s="4" t="s">
        <v>284</v>
      </c>
      <c r="D11" s="15">
        <v>-65</v>
      </c>
      <c r="E11" s="315"/>
    </row>
    <row r="12" spans="1:5" ht="16.5" thickBot="1">
      <c r="A12" s="315"/>
      <c r="B12" s="49"/>
      <c r="C12" s="4" t="s">
        <v>285</v>
      </c>
      <c r="D12" s="15">
        <v>-60</v>
      </c>
      <c r="E12" s="315"/>
    </row>
    <row r="13" spans="1:5" ht="16.5" thickBot="1">
      <c r="A13" s="316"/>
      <c r="B13" s="50"/>
      <c r="C13" s="4" t="s">
        <v>286</v>
      </c>
      <c r="D13" s="15">
        <v>-65</v>
      </c>
      <c r="E13" s="316"/>
    </row>
    <row r="14" spans="1:5" ht="16.5" thickBot="1">
      <c r="A14" s="317">
        <v>4</v>
      </c>
      <c r="B14" s="22" t="s">
        <v>288</v>
      </c>
      <c r="C14" s="4" t="s">
        <v>282</v>
      </c>
      <c r="D14" s="15">
        <v>-65</v>
      </c>
      <c r="E14" s="317" t="s">
        <v>283</v>
      </c>
    </row>
    <row r="15" spans="1:5" ht="16.5" thickBot="1">
      <c r="A15" s="315"/>
      <c r="B15" s="22" t="s">
        <v>261</v>
      </c>
      <c r="C15" s="4" t="s">
        <v>284</v>
      </c>
      <c r="D15" s="15">
        <v>-65</v>
      </c>
      <c r="E15" s="315"/>
    </row>
    <row r="16" spans="1:5" ht="16.5" thickBot="1">
      <c r="A16" s="316"/>
      <c r="B16" s="10"/>
      <c r="C16" s="4" t="s">
        <v>285</v>
      </c>
      <c r="D16" s="15">
        <v>-65</v>
      </c>
      <c r="E16" s="316"/>
    </row>
    <row r="17" spans="1:5" ht="16.5" thickBot="1">
      <c r="A17" s="317">
        <v>5</v>
      </c>
      <c r="B17" s="22" t="s">
        <v>289</v>
      </c>
      <c r="C17" s="4" t="s">
        <v>282</v>
      </c>
      <c r="D17" s="15">
        <v>-60</v>
      </c>
      <c r="E17" s="317" t="s">
        <v>283</v>
      </c>
    </row>
    <row r="18" spans="1:5" ht="16.5" thickBot="1">
      <c r="A18" s="315"/>
      <c r="B18" s="22" t="s">
        <v>258</v>
      </c>
      <c r="C18" s="4" t="s">
        <v>284</v>
      </c>
      <c r="D18" s="15">
        <v>-60</v>
      </c>
      <c r="E18" s="315"/>
    </row>
    <row r="19" spans="1:5" ht="16.5" thickBot="1">
      <c r="A19" s="315"/>
      <c r="B19" s="49"/>
      <c r="C19" s="4" t="s">
        <v>285</v>
      </c>
      <c r="D19" s="15">
        <v>-60</v>
      </c>
      <c r="E19" s="315"/>
    </row>
    <row r="20" spans="1:5" ht="16.5" thickBot="1">
      <c r="A20" s="316"/>
      <c r="B20" s="50"/>
      <c r="C20" s="4" t="s">
        <v>286</v>
      </c>
      <c r="D20" s="15">
        <v>-60</v>
      </c>
      <c r="E20" s="316"/>
    </row>
    <row r="21" spans="1:5" ht="16.5" thickBot="1">
      <c r="A21" s="317">
        <v>6</v>
      </c>
      <c r="B21" s="22" t="s">
        <v>38</v>
      </c>
      <c r="C21" s="4" t="s">
        <v>282</v>
      </c>
      <c r="D21" s="15">
        <v>-35</v>
      </c>
      <c r="E21" s="317" t="s">
        <v>283</v>
      </c>
    </row>
    <row r="22" spans="1:5" ht="16.5" thickBot="1">
      <c r="A22" s="315"/>
      <c r="B22" s="22" t="s">
        <v>269</v>
      </c>
      <c r="C22" s="4" t="s">
        <v>284</v>
      </c>
      <c r="D22" s="15">
        <v>-60</v>
      </c>
      <c r="E22" s="315"/>
    </row>
    <row r="23" spans="1:5" ht="16.5" thickBot="1">
      <c r="A23" s="316"/>
      <c r="B23" s="50"/>
      <c r="C23" s="4" t="s">
        <v>285</v>
      </c>
      <c r="D23" s="15">
        <v>-40</v>
      </c>
      <c r="E23" s="316"/>
    </row>
    <row r="24" spans="1:5" ht="16.5" thickBot="1">
      <c r="A24" s="317">
        <v>7</v>
      </c>
      <c r="B24" s="22" t="s">
        <v>290</v>
      </c>
      <c r="C24" s="4" t="s">
        <v>282</v>
      </c>
      <c r="D24" s="15">
        <v>-65</v>
      </c>
      <c r="E24" s="317" t="s">
        <v>283</v>
      </c>
    </row>
    <row r="25" spans="1:5" ht="16.5" thickBot="1">
      <c r="A25" s="315"/>
      <c r="B25" s="22" t="s">
        <v>255</v>
      </c>
      <c r="C25" s="4" t="s">
        <v>284</v>
      </c>
      <c r="D25" s="15">
        <v>-65</v>
      </c>
      <c r="E25" s="315"/>
    </row>
    <row r="26" spans="1:5" ht="16.5" thickBot="1">
      <c r="A26" s="315"/>
      <c r="B26" s="49"/>
      <c r="C26" s="4" t="s">
        <v>285</v>
      </c>
      <c r="D26" s="15">
        <v>-60</v>
      </c>
      <c r="E26" s="315"/>
    </row>
    <row r="27" spans="1:5" ht="16.5" thickBot="1">
      <c r="A27" s="316"/>
      <c r="B27" s="50"/>
      <c r="C27" s="4" t="s">
        <v>286</v>
      </c>
      <c r="D27" s="15">
        <v>-60</v>
      </c>
      <c r="E27" s="316"/>
    </row>
    <row r="28" spans="1:5" ht="16.5" thickBot="1">
      <c r="A28" s="317">
        <v>8</v>
      </c>
      <c r="B28" s="22" t="s">
        <v>291</v>
      </c>
      <c r="C28" s="4" t="s">
        <v>282</v>
      </c>
      <c r="D28" s="15">
        <v>-60</v>
      </c>
      <c r="E28" s="317" t="s">
        <v>283</v>
      </c>
    </row>
    <row r="29" spans="1:5" ht="16.5" thickBot="1">
      <c r="A29" s="315"/>
      <c r="B29" s="22" t="s">
        <v>29</v>
      </c>
      <c r="C29" s="4" t="s">
        <v>284</v>
      </c>
      <c r="D29" s="15">
        <v>-60</v>
      </c>
      <c r="E29" s="315"/>
    </row>
    <row r="30" spans="1:5" ht="16.5" thickBot="1">
      <c r="A30" s="315"/>
      <c r="B30" s="22" t="s">
        <v>263</v>
      </c>
      <c r="C30" s="4" t="s">
        <v>285</v>
      </c>
      <c r="D30" s="15">
        <v>-60</v>
      </c>
      <c r="E30" s="315"/>
    </row>
    <row r="31" spans="1:5" ht="16.5" thickBot="1">
      <c r="A31" s="316"/>
      <c r="B31" s="50"/>
      <c r="C31" s="4" t="s">
        <v>286</v>
      </c>
      <c r="D31" s="15">
        <v>-60</v>
      </c>
      <c r="E31" s="316"/>
    </row>
  </sheetData>
  <mergeCells count="16">
    <mergeCell ref="A24:A27"/>
    <mergeCell ref="E24:E27"/>
    <mergeCell ref="A28:A31"/>
    <mergeCell ref="E28:E31"/>
    <mergeCell ref="A14:A16"/>
    <mergeCell ref="E14:E16"/>
    <mergeCell ref="A17:A20"/>
    <mergeCell ref="E17:E20"/>
    <mergeCell ref="A21:A23"/>
    <mergeCell ref="E21:E23"/>
    <mergeCell ref="A3:A6"/>
    <mergeCell ref="E3:E6"/>
    <mergeCell ref="A7:A9"/>
    <mergeCell ref="E7:E9"/>
    <mergeCell ref="A10:A13"/>
    <mergeCell ref="E10:E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1"/>
  <sheetViews>
    <sheetView view="pageBreakPreview" zoomScale="80" zoomScaleSheetLayoutView="80" workbookViewId="0">
      <selection sqref="A1:F19"/>
    </sheetView>
  </sheetViews>
  <sheetFormatPr defaultRowHeight="15"/>
  <cols>
    <col min="1" max="1" width="7.7109375" customWidth="1"/>
    <col min="2" max="2" width="28.28515625" bestFit="1" customWidth="1"/>
    <col min="3" max="3" width="18.140625" customWidth="1"/>
    <col min="4" max="4" width="15.85546875" bestFit="1" customWidth="1"/>
    <col min="5" max="5" width="10" bestFit="1" customWidth="1"/>
    <col min="6" max="6" width="16.85546875" bestFit="1" customWidth="1"/>
    <col min="7" max="7" width="4.28515625" customWidth="1"/>
    <col min="8" max="8" width="5" customWidth="1"/>
    <col min="9" max="9" width="23.28515625" customWidth="1"/>
    <col min="11" max="11" width="12.140625" customWidth="1"/>
  </cols>
  <sheetData>
    <row r="1" spans="1:16" ht="16.5" thickBot="1">
      <c r="A1" s="320" t="s">
        <v>298</v>
      </c>
      <c r="B1" s="320"/>
      <c r="C1" s="320"/>
      <c r="D1" s="320"/>
      <c r="E1" s="320"/>
      <c r="F1" s="320"/>
    </row>
    <row r="2" spans="1:16">
      <c r="A2" s="321" t="s">
        <v>46</v>
      </c>
      <c r="B2" s="323" t="s">
        <v>299</v>
      </c>
      <c r="C2" s="325" t="s">
        <v>300</v>
      </c>
      <c r="D2" s="327" t="s">
        <v>301</v>
      </c>
      <c r="E2" s="329" t="s">
        <v>302</v>
      </c>
      <c r="F2" s="330"/>
    </row>
    <row r="3" spans="1:16">
      <c r="A3" s="322"/>
      <c r="B3" s="324"/>
      <c r="C3" s="326"/>
      <c r="D3" s="328"/>
      <c r="E3" s="89" t="s">
        <v>303</v>
      </c>
      <c r="F3" s="90" t="s">
        <v>304</v>
      </c>
      <c r="H3" s="102" t="s">
        <v>1</v>
      </c>
      <c r="I3" s="102" t="s">
        <v>435</v>
      </c>
      <c r="J3" s="102" t="s">
        <v>436</v>
      </c>
      <c r="K3" s="102" t="s">
        <v>437</v>
      </c>
      <c r="L3" s="102"/>
      <c r="M3" s="102"/>
      <c r="N3" s="102"/>
      <c r="O3" s="102"/>
      <c r="P3" s="102"/>
    </row>
    <row r="4" spans="1:16">
      <c r="A4" s="91" t="s">
        <v>305</v>
      </c>
      <c r="B4" s="92" t="s">
        <v>306</v>
      </c>
      <c r="C4" s="92" t="s">
        <v>307</v>
      </c>
      <c r="D4" s="93" t="s">
        <v>308</v>
      </c>
      <c r="E4" s="94" t="s">
        <v>309</v>
      </c>
      <c r="F4" s="94" t="s">
        <v>310</v>
      </c>
      <c r="H4" s="102"/>
      <c r="I4" s="102"/>
      <c r="J4" s="102"/>
      <c r="K4" s="102"/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</row>
    <row r="5" spans="1:16" ht="30">
      <c r="A5" s="95" t="s">
        <v>311</v>
      </c>
      <c r="B5" s="96" t="s">
        <v>312</v>
      </c>
      <c r="C5" s="333" t="s">
        <v>313</v>
      </c>
      <c r="D5" s="97" t="s">
        <v>314</v>
      </c>
      <c r="E5" s="98">
        <v>0.28800000000000003</v>
      </c>
      <c r="F5" s="98">
        <v>4102.6880000000001</v>
      </c>
      <c r="H5" s="102">
        <v>1</v>
      </c>
      <c r="I5" s="217" t="s">
        <v>438</v>
      </c>
      <c r="J5" s="102" t="s">
        <v>439</v>
      </c>
      <c r="K5" s="102" t="s">
        <v>440</v>
      </c>
      <c r="L5" s="102">
        <v>2</v>
      </c>
      <c r="M5" s="102">
        <v>2.5</v>
      </c>
      <c r="N5" s="102">
        <v>3.5</v>
      </c>
      <c r="O5" s="102">
        <v>3.5</v>
      </c>
      <c r="P5" s="102">
        <v>4</v>
      </c>
    </row>
    <row r="6" spans="1:16">
      <c r="A6" s="336"/>
      <c r="B6" s="99" t="s">
        <v>315</v>
      </c>
      <c r="C6" s="334"/>
      <c r="D6" s="97" t="s">
        <v>316</v>
      </c>
      <c r="E6" s="98">
        <v>0.33400000000000002</v>
      </c>
      <c r="F6" s="98">
        <v>3643.6719999999996</v>
      </c>
      <c r="H6" s="102"/>
      <c r="I6" s="102"/>
      <c r="J6" s="102"/>
      <c r="K6" s="102" t="s">
        <v>441</v>
      </c>
      <c r="L6" s="102" t="s">
        <v>442</v>
      </c>
      <c r="M6" s="102" t="s">
        <v>443</v>
      </c>
      <c r="N6" s="102">
        <v>3.72</v>
      </c>
      <c r="O6" s="102">
        <v>2.35</v>
      </c>
      <c r="P6" s="102"/>
    </row>
    <row r="7" spans="1:16">
      <c r="A7" s="337"/>
      <c r="B7" s="100" t="s">
        <v>317</v>
      </c>
      <c r="C7" s="334"/>
      <c r="D7" s="97" t="s">
        <v>318</v>
      </c>
      <c r="E7" s="98">
        <v>2.5000000000000001E-2</v>
      </c>
      <c r="F7" s="98">
        <v>243.1</v>
      </c>
      <c r="H7" s="102">
        <v>2</v>
      </c>
      <c r="I7" s="102" t="s">
        <v>444</v>
      </c>
      <c r="J7" s="102" t="s">
        <v>445</v>
      </c>
      <c r="K7" s="102" t="s">
        <v>440</v>
      </c>
      <c r="L7" s="102">
        <v>2.2999999999999998</v>
      </c>
      <c r="M7" s="102">
        <v>2.4</v>
      </c>
      <c r="N7" s="102">
        <v>2.5</v>
      </c>
      <c r="O7" s="102">
        <v>2.6</v>
      </c>
      <c r="P7" s="102">
        <v>2.7</v>
      </c>
    </row>
    <row r="8" spans="1:16">
      <c r="A8" s="338"/>
      <c r="B8" s="97"/>
      <c r="C8" s="335"/>
      <c r="D8" s="97" t="s">
        <v>319</v>
      </c>
      <c r="E8" s="98">
        <v>0.05</v>
      </c>
      <c r="F8" s="98">
        <v>1159.643</v>
      </c>
      <c r="H8" s="102"/>
      <c r="I8" s="102"/>
      <c r="J8" s="102"/>
      <c r="K8" s="102" t="s">
        <v>441</v>
      </c>
      <c r="L8" s="102">
        <v>2.59</v>
      </c>
      <c r="M8" s="102">
        <v>2.64</v>
      </c>
      <c r="N8" s="102">
        <v>2.6349999999999998</v>
      </c>
      <c r="O8" s="102">
        <v>3.88</v>
      </c>
      <c r="P8" s="102"/>
    </row>
    <row r="9" spans="1:16">
      <c r="A9" s="97"/>
      <c r="B9" s="339" t="s">
        <v>45</v>
      </c>
      <c r="C9" s="339"/>
      <c r="D9" s="339"/>
      <c r="E9" s="101">
        <v>0.69700000000000017</v>
      </c>
      <c r="F9" s="101">
        <v>9149.1029999999992</v>
      </c>
    </row>
    <row r="10" spans="1:16">
      <c r="A10" s="102">
        <v>2</v>
      </c>
      <c r="B10" s="1" t="s">
        <v>320</v>
      </c>
      <c r="C10" s="289" t="s">
        <v>321</v>
      </c>
      <c r="D10" s="1" t="s">
        <v>322</v>
      </c>
      <c r="E10" s="98">
        <v>14.64</v>
      </c>
      <c r="F10" s="98">
        <v>55951</v>
      </c>
    </row>
    <row r="11" spans="1:16" ht="51" customHeight="1">
      <c r="A11" s="1"/>
      <c r="B11" s="103" t="s">
        <v>323</v>
      </c>
      <c r="C11" s="291"/>
      <c r="D11" s="104" t="s">
        <v>324</v>
      </c>
      <c r="E11" s="105">
        <v>0.112</v>
      </c>
      <c r="F11" s="105">
        <v>358.98</v>
      </c>
    </row>
    <row r="12" spans="1:16">
      <c r="A12" s="1"/>
      <c r="B12" s="340" t="s">
        <v>45</v>
      </c>
      <c r="C12" s="340"/>
      <c r="D12" s="340"/>
      <c r="E12" s="101">
        <v>14.752000000000001</v>
      </c>
      <c r="F12" s="101">
        <v>56309.98</v>
      </c>
    </row>
    <row r="13" spans="1:16" ht="65.25" customHeight="1">
      <c r="A13" s="106">
        <v>3</v>
      </c>
      <c r="B13" s="103" t="s">
        <v>325</v>
      </c>
      <c r="C13" s="2" t="s">
        <v>326</v>
      </c>
      <c r="D13" s="104" t="s">
        <v>327</v>
      </c>
      <c r="E13" s="105">
        <v>3.2495000000000003</v>
      </c>
      <c r="F13" s="105">
        <v>23210.14</v>
      </c>
    </row>
    <row r="14" spans="1:16">
      <c r="A14" s="106"/>
      <c r="B14" s="331" t="s">
        <v>45</v>
      </c>
      <c r="C14" s="331"/>
      <c r="D14" s="331"/>
      <c r="E14" s="107">
        <v>3.2495000000000003</v>
      </c>
      <c r="F14" s="107">
        <v>23210.14</v>
      </c>
    </row>
    <row r="15" spans="1:16" ht="45">
      <c r="A15" s="106">
        <v>4</v>
      </c>
      <c r="B15" s="136" t="s">
        <v>360</v>
      </c>
      <c r="C15" s="137" t="s">
        <v>361</v>
      </c>
      <c r="D15" s="137" t="s">
        <v>362</v>
      </c>
      <c r="E15" s="138">
        <v>79.013120000000001</v>
      </c>
      <c r="F15" s="140">
        <v>176435.5</v>
      </c>
    </row>
    <row r="16" spans="1:16">
      <c r="A16" s="106"/>
      <c r="B16" s="331" t="s">
        <v>45</v>
      </c>
      <c r="C16" s="331"/>
      <c r="D16" s="331"/>
      <c r="E16" s="141">
        <f>E15</f>
        <v>79.013120000000001</v>
      </c>
      <c r="F16" s="142">
        <f>F15</f>
        <v>176435.5</v>
      </c>
    </row>
    <row r="17" spans="1:7" ht="39" customHeight="1">
      <c r="A17" s="106">
        <v>5</v>
      </c>
      <c r="B17" s="103" t="s">
        <v>328</v>
      </c>
      <c r="C17" s="2" t="s">
        <v>329</v>
      </c>
      <c r="D17" s="104" t="s">
        <v>330</v>
      </c>
      <c r="E17" s="105">
        <v>0.74205900000000002</v>
      </c>
      <c r="F17" s="105">
        <v>7810.5</v>
      </c>
    </row>
    <row r="18" spans="1:7">
      <c r="A18" s="1"/>
      <c r="B18" s="331" t="s">
        <v>45</v>
      </c>
      <c r="C18" s="331"/>
      <c r="D18" s="331"/>
      <c r="E18" s="107">
        <v>0.74205900000000002</v>
      </c>
      <c r="F18" s="107">
        <v>7810.5</v>
      </c>
    </row>
    <row r="19" spans="1:7">
      <c r="A19" s="1"/>
      <c r="B19" s="332" t="s">
        <v>331</v>
      </c>
      <c r="C19" s="332"/>
      <c r="D19" s="332"/>
      <c r="E19" s="139">
        <f>E9+E12+E14+E18+E16</f>
        <v>98.453679000000008</v>
      </c>
      <c r="F19" s="139">
        <f>F9+F12+F14+F18+F16</f>
        <v>272915.223</v>
      </c>
    </row>
    <row r="20" spans="1:7">
      <c r="F20" s="222">
        <f>F15+F13</f>
        <v>199645.64</v>
      </c>
    </row>
    <row r="21" spans="1:7">
      <c r="D21" s="318" t="s">
        <v>326</v>
      </c>
      <c r="E21" s="319"/>
      <c r="F21" s="223">
        <f>(F20/F19)*100</f>
        <v>73.152987878583829</v>
      </c>
      <c r="G21" t="s">
        <v>439</v>
      </c>
    </row>
  </sheetData>
  <mergeCells count="16">
    <mergeCell ref="D21:E21"/>
    <mergeCell ref="A1:F1"/>
    <mergeCell ref="A2:A3"/>
    <mergeCell ref="B2:B3"/>
    <mergeCell ref="C2:C3"/>
    <mergeCell ref="D2:D3"/>
    <mergeCell ref="E2:F2"/>
    <mergeCell ref="B18:D18"/>
    <mergeCell ref="B19:D19"/>
    <mergeCell ref="C5:C8"/>
    <mergeCell ref="A6:A8"/>
    <mergeCell ref="B9:D9"/>
    <mergeCell ref="C10:C11"/>
    <mergeCell ref="B12:D12"/>
    <mergeCell ref="B14:D14"/>
    <mergeCell ref="B16:D16"/>
  </mergeCells>
  <pageMargins left="0.7" right="0.7" top="0.75" bottom="0.75" header="0.3" footer="0.3"/>
  <pageSetup paperSize="9" scale="84" orientation="portrait" horizontalDpi="360" verticalDpi="36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PERDAGAN</vt:lpstr>
      <vt:lpstr>DATA INDUSTRI</vt:lpstr>
      <vt:lpstr>DATA PASAR</vt:lpstr>
      <vt:lpstr>KULINER</vt:lpstr>
      <vt:lpstr>SIUP</vt:lpstr>
      <vt:lpstr>UTTP</vt:lpstr>
      <vt:lpstr>SPBU 3027</vt:lpstr>
      <vt:lpstr>PENGAWASAN</vt:lpstr>
      <vt:lpstr>EKSPORT</vt:lpstr>
      <vt:lpstr>Data IKAHH</vt:lpstr>
      <vt:lpstr>ILMEA DATA</vt:lpstr>
      <vt:lpstr>IKM KEC</vt:lpstr>
      <vt:lpstr>ikm 2013 sd 2019</vt:lpstr>
      <vt:lpstr>IKM OLAH</vt:lpstr>
      <vt:lpstr>Kontribusi</vt:lpstr>
      <vt:lpstr>Sheet1</vt:lpstr>
      <vt:lpstr>Sheet2</vt:lpstr>
      <vt:lpstr>Sheet3</vt:lpstr>
      <vt:lpstr>'Data IKAHH'!Print_Area</vt:lpstr>
      <vt:lpstr>'ikm 2013 sd 2019'!Print_Area</vt:lpstr>
      <vt:lpstr>'ILMEA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Dis</cp:lastModifiedBy>
  <cp:lastPrinted>2020-04-22T05:43:42Z</cp:lastPrinted>
  <dcterms:created xsi:type="dcterms:W3CDTF">2018-12-18T01:46:55Z</dcterms:created>
  <dcterms:modified xsi:type="dcterms:W3CDTF">2020-10-19T00:50:44Z</dcterms:modified>
</cp:coreProperties>
</file>